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2T26/3. Planilha interativa/"/>
    </mc:Choice>
  </mc:AlternateContent>
  <xr:revisionPtr revIDLastSave="1630" documentId="8_{75386A77-0C2A-47CF-8F72-B91DED93AFFE}" xr6:coauthVersionLast="47" xr6:coauthVersionMax="47" xr10:uidLastSave="{14AB03F5-EB26-4362-B8BC-1697B1580A2F}"/>
  <bookViews>
    <workbookView xWindow="-120" yWindow="-120" windowWidth="29040" windowHeight="15720" tabRatio="927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IFRS" sheetId="44" r:id="rId5"/>
    <sheet name="DRE Consolidada " sheetId="32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0" i="18" l="1"/>
  <c r="AJ6" i="18"/>
  <c r="AJ12" i="18" s="1"/>
  <c r="AJ5" i="18"/>
  <c r="AJ11" i="18" s="1"/>
  <c r="AJ4" i="18"/>
  <c r="AJ4" i="19"/>
  <c r="AJ20" i="43"/>
  <c r="AI20" i="43"/>
  <c r="AJ26" i="43"/>
  <c r="AJ4" i="43"/>
  <c r="AJ4" i="39"/>
  <c r="AJ17" i="40"/>
  <c r="AI17" i="40"/>
  <c r="AH17" i="40"/>
  <c r="AJ6" i="40"/>
  <c r="AJ7" i="40" s="1"/>
  <c r="AJ5" i="40"/>
  <c r="AJ14" i="40" s="1"/>
  <c r="AJ4" i="32"/>
  <c r="AJ13" i="18" l="1"/>
  <c r="AJ7" i="18"/>
  <c r="AJ10" i="40"/>
  <c r="AJ9" i="40"/>
  <c r="AJ64" i="13"/>
  <c r="AJ52" i="13"/>
  <c r="AJ39" i="13"/>
  <c r="AJ38" i="13"/>
  <c r="AJ18" i="13"/>
  <c r="AJ5" i="13"/>
  <c r="AJ21" i="31"/>
  <c r="AJ18" i="31"/>
  <c r="AJ15" i="31"/>
  <c r="AJ6" i="31"/>
  <c r="AJ12" i="31" s="1"/>
  <c r="AJ4" i="31"/>
  <c r="AJ16" i="29"/>
  <c r="AJ9" i="29"/>
  <c r="AJ5" i="29"/>
  <c r="AJ11" i="29" s="1"/>
  <c r="AJ18" i="29" s="1"/>
  <c r="AJ4" i="29"/>
  <c r="AI10" i="40"/>
  <c r="AI10" i="18"/>
  <c r="AI6" i="18"/>
  <c r="AI12" i="18" s="1"/>
  <c r="AI4" i="18"/>
  <c r="AI4" i="19"/>
  <c r="AI26" i="43"/>
  <c r="AI4" i="43"/>
  <c r="AI4" i="39"/>
  <c r="AI6" i="40"/>
  <c r="AI5" i="40"/>
  <c r="AI4" i="32"/>
  <c r="AI64" i="13"/>
  <c r="AI52" i="13"/>
  <c r="AI38" i="13"/>
  <c r="AI18" i="13"/>
  <c r="AI5" i="13"/>
  <c r="AI9" i="31"/>
  <c r="AI15" i="31"/>
  <c r="AI21" i="31" s="1"/>
  <c r="AI6" i="31"/>
  <c r="AI4" i="31"/>
  <c r="AJ15" i="40" l="1"/>
  <c r="AJ16" i="40" s="1"/>
  <c r="AJ11" i="40"/>
  <c r="AI5" i="18"/>
  <c r="AI11" i="18" s="1"/>
  <c r="AI7" i="40"/>
  <c r="AJ75" i="13"/>
  <c r="AJ35" i="13"/>
  <c r="AJ9" i="31"/>
  <c r="AI13" i="18"/>
  <c r="AI9" i="40"/>
  <c r="AI11" i="40"/>
  <c r="AI35" i="13"/>
  <c r="AI12" i="31"/>
  <c r="AI18" i="31"/>
  <c r="AI7" i="18" l="1"/>
  <c r="AI39" i="13"/>
  <c r="AI75" i="13" s="1"/>
  <c r="AI16" i="29" l="1"/>
  <c r="AI9" i="29"/>
  <c r="AI5" i="29"/>
  <c r="AI11" i="29" s="1"/>
  <c r="AI4" i="29"/>
  <c r="AI18" i="29" l="1"/>
  <c r="M34" i="41"/>
  <c r="N34" i="41"/>
  <c r="AP9" i="18"/>
  <c r="AP8" i="18"/>
  <c r="AH10" i="18"/>
  <c r="AH6" i="18"/>
  <c r="AH5" i="18"/>
  <c r="AH11" i="18" s="1"/>
  <c r="AH4" i="18"/>
  <c r="AH4" i="19"/>
  <c r="AH20" i="43"/>
  <c r="AP27" i="43"/>
  <c r="AP26" i="43"/>
  <c r="AP23" i="43"/>
  <c r="AP22" i="43"/>
  <c r="AP21" i="43"/>
  <c r="AP19" i="43"/>
  <c r="AP18" i="43"/>
  <c r="AP17" i="43"/>
  <c r="AP16" i="43"/>
  <c r="AP15" i="43"/>
  <c r="AP14" i="43"/>
  <c r="AP13" i="43"/>
  <c r="AP12" i="43"/>
  <c r="AP11" i="43"/>
  <c r="AP10" i="43"/>
  <c r="AP9" i="43"/>
  <c r="AP8" i="43"/>
  <c r="AP7" i="43"/>
  <c r="AP6" i="43"/>
  <c r="AP5" i="43"/>
  <c r="AH26" i="43"/>
  <c r="AH25" i="43"/>
  <c r="AH4" i="43"/>
  <c r="AP83" i="39"/>
  <c r="AP82" i="39"/>
  <c r="AP81" i="39"/>
  <c r="AP80" i="39"/>
  <c r="AP79" i="39"/>
  <c r="AP78" i="39"/>
  <c r="AP77" i="39"/>
  <c r="AP76" i="39"/>
  <c r="AP75" i="39"/>
  <c r="AP74" i="39"/>
  <c r="AP73" i="39"/>
  <c r="AP72" i="39"/>
  <c r="AP71" i="39"/>
  <c r="AP70" i="39"/>
  <c r="AP69" i="39"/>
  <c r="AP68" i="39"/>
  <c r="AP67" i="39"/>
  <c r="AP66" i="39"/>
  <c r="AP65" i="39"/>
  <c r="AP64" i="39"/>
  <c r="AP63" i="39"/>
  <c r="AP62" i="39"/>
  <c r="AP61" i="39"/>
  <c r="AP60" i="39"/>
  <c r="AP56" i="39"/>
  <c r="AP55" i="39"/>
  <c r="AP54" i="39"/>
  <c r="AP53" i="39"/>
  <c r="AP52" i="39"/>
  <c r="AP51" i="39"/>
  <c r="AP50" i="39"/>
  <c r="AP49" i="39"/>
  <c r="AP48" i="39"/>
  <c r="AP47" i="39"/>
  <c r="AP46" i="39"/>
  <c r="AP45" i="39"/>
  <c r="AP44" i="39"/>
  <c r="AP43" i="39"/>
  <c r="AP42" i="39"/>
  <c r="AP41" i="39"/>
  <c r="AP40" i="39"/>
  <c r="AP39" i="39"/>
  <c r="AP38" i="39"/>
  <c r="AP37" i="39"/>
  <c r="AP36" i="39"/>
  <c r="AP35" i="39"/>
  <c r="AP34" i="39"/>
  <c r="AP33" i="39"/>
  <c r="AP29" i="39"/>
  <c r="AP28" i="39"/>
  <c r="AP27" i="39"/>
  <c r="AP26" i="39"/>
  <c r="AP25" i="39"/>
  <c r="AP24" i="39"/>
  <c r="AP23" i="39"/>
  <c r="AP22" i="39"/>
  <c r="AP21" i="39"/>
  <c r="AP20" i="39"/>
  <c r="AP19" i="39"/>
  <c r="AP18" i="39"/>
  <c r="AP17" i="39"/>
  <c r="AP16" i="39"/>
  <c r="AP15" i="39"/>
  <c r="AP14" i="39"/>
  <c r="AP13" i="39"/>
  <c r="AP12" i="39"/>
  <c r="AP11" i="39"/>
  <c r="AP10" i="39"/>
  <c r="AP9" i="39"/>
  <c r="AP8" i="39"/>
  <c r="AP7" i="39"/>
  <c r="AP6" i="39"/>
  <c r="AH4" i="39"/>
  <c r="AH6" i="40"/>
  <c r="AH10" i="40" s="1"/>
  <c r="AH5" i="40"/>
  <c r="AP48" i="32"/>
  <c r="AP47" i="32"/>
  <c r="AP46" i="32"/>
  <c r="AP45" i="32"/>
  <c r="AP44" i="32"/>
  <c r="AP43" i="32"/>
  <c r="AP42" i="32"/>
  <c r="AP41" i="32"/>
  <c r="AP40" i="32"/>
  <c r="AP39" i="32"/>
  <c r="AP38" i="32"/>
  <c r="AP37" i="32"/>
  <c r="AP36" i="32"/>
  <c r="AP35" i="32"/>
  <c r="AP34" i="32"/>
  <c r="AP33" i="32"/>
  <c r="AP32" i="32"/>
  <c r="AP31" i="32"/>
  <c r="AP30" i="32"/>
  <c r="AP29" i="32"/>
  <c r="AP28" i="32"/>
  <c r="AP27" i="32"/>
  <c r="AP26" i="32"/>
  <c r="AP25" i="32"/>
  <c r="AP24" i="32"/>
  <c r="AP23" i="32"/>
  <c r="AP22" i="32"/>
  <c r="AP21" i="32"/>
  <c r="AP20" i="32"/>
  <c r="AP19" i="32"/>
  <c r="AP18" i="32"/>
  <c r="AP17" i="32"/>
  <c r="AP16" i="32"/>
  <c r="AP15" i="32"/>
  <c r="AP14" i="32"/>
  <c r="AP13" i="32"/>
  <c r="AP12" i="32"/>
  <c r="AP11" i="32"/>
  <c r="AP10" i="32"/>
  <c r="AP9" i="32"/>
  <c r="AP8" i="32"/>
  <c r="AP7" i="32"/>
  <c r="AP6" i="32"/>
  <c r="AP5" i="32"/>
  <c r="AH4" i="32"/>
  <c r="AP19" i="44"/>
  <c r="AP17" i="44"/>
  <c r="AP15" i="44"/>
  <c r="AP14" i="44"/>
  <c r="AP12" i="44"/>
  <c r="AP11" i="44"/>
  <c r="AP8" i="44" s="1"/>
  <c r="AP10" i="44"/>
  <c r="AP9" i="44"/>
  <c r="AP6" i="44"/>
  <c r="AP5" i="44"/>
  <c r="AH64" i="13"/>
  <c r="AH52" i="13"/>
  <c r="AH39" i="13"/>
  <c r="AH38" i="13"/>
  <c r="AH18" i="13"/>
  <c r="AH5" i="13"/>
  <c r="AH21" i="31"/>
  <c r="AH18" i="31"/>
  <c r="AH15" i="31"/>
  <c r="AH6" i="31"/>
  <c r="AH12" i="31" s="1"/>
  <c r="AH4" i="31"/>
  <c r="AH16" i="29"/>
  <c r="AH9" i="29"/>
  <c r="AH5" i="29"/>
  <c r="AH11" i="29" s="1"/>
  <c r="AH4" i="29"/>
  <c r="AH7" i="18" l="1"/>
  <c r="AP10" i="18"/>
  <c r="AH12" i="18"/>
  <c r="AH13" i="18" s="1"/>
  <c r="AH11" i="40"/>
  <c r="AH7" i="40"/>
  <c r="AH9" i="40"/>
  <c r="AP7" i="44"/>
  <c r="AP13" i="44" s="1"/>
  <c r="AP16" i="44" s="1"/>
  <c r="AP18" i="44" s="1"/>
  <c r="AP20" i="44" s="1"/>
  <c r="AH75" i="13"/>
  <c r="AH35" i="13"/>
  <c r="AH9" i="31"/>
  <c r="AH18" i="29"/>
  <c r="M11" i="41" l="1"/>
  <c r="AG10" i="18"/>
  <c r="AG6" i="18"/>
  <c r="AG12" i="18" s="1"/>
  <c r="AG4" i="18"/>
  <c r="AG4" i="19"/>
  <c r="AG20" i="43"/>
  <c r="AP20" i="43" s="1"/>
  <c r="AG26" i="43"/>
  <c r="AG25" i="43"/>
  <c r="AG4" i="43"/>
  <c r="AG4" i="39"/>
  <c r="AG6" i="40"/>
  <c r="AG10" i="40" s="1"/>
  <c r="AG5" i="40"/>
  <c r="AG9" i="40" s="1"/>
  <c r="AG4" i="32"/>
  <c r="AG52" i="13"/>
  <c r="AG64" i="13"/>
  <c r="AG39" i="13"/>
  <c r="AG38" i="13"/>
  <c r="AG18" i="13"/>
  <c r="AG5" i="13"/>
  <c r="AG15" i="31"/>
  <c r="AG21" i="31" s="1"/>
  <c r="AG6" i="31"/>
  <c r="AG9" i="31" s="1"/>
  <c r="AG4" i="31"/>
  <c r="AG16" i="29"/>
  <c r="AG9" i="29"/>
  <c r="AG5" i="29"/>
  <c r="AG11" i="29" s="1"/>
  <c r="AG4" i="29"/>
  <c r="AG5" i="18" l="1"/>
  <c r="AG11" i="18" s="1"/>
  <c r="AG7" i="18"/>
  <c r="AG13" i="18"/>
  <c r="AG7" i="40"/>
  <c r="AG75" i="13"/>
  <c r="AG35" i="13"/>
  <c r="AG12" i="31"/>
  <c r="AG18" i="31"/>
  <c r="AG18" i="29"/>
  <c r="AG11" i="40"/>
  <c r="AF15" i="13" l="1"/>
  <c r="AD13" i="18" l="1"/>
  <c r="AF10" i="18" l="1"/>
  <c r="AF6" i="18"/>
  <c r="AF4" i="18"/>
  <c r="AF4" i="19"/>
  <c r="AF24" i="43"/>
  <c r="AF26" i="43"/>
  <c r="AF4" i="43"/>
  <c r="AF4" i="39"/>
  <c r="AF25" i="43" l="1"/>
  <c r="AP25" i="43" s="1"/>
  <c r="AP24" i="43"/>
  <c r="AF12" i="18"/>
  <c r="AP12" i="18" s="1"/>
  <c r="AF6" i="40" l="1"/>
  <c r="AF10" i="40" s="1"/>
  <c r="AI15" i="40" s="1"/>
  <c r="AF5" i="40"/>
  <c r="AF4" i="32"/>
  <c r="AF64" i="13"/>
  <c r="AF52" i="13"/>
  <c r="AF39" i="13"/>
  <c r="AF23" i="13"/>
  <c r="AF5" i="18" l="1"/>
  <c r="AI14" i="40"/>
  <c r="AI16" i="40"/>
  <c r="AF11" i="40"/>
  <c r="AF11" i="18"/>
  <c r="AF13" i="18" s="1"/>
  <c r="AF7" i="18"/>
  <c r="AF7" i="40"/>
  <c r="AF9" i="40"/>
  <c r="AF75" i="13"/>
  <c r="AF5" i="13" l="1"/>
  <c r="AF18" i="13"/>
  <c r="AF38" i="13"/>
  <c r="AF21" i="31"/>
  <c r="AF18" i="31"/>
  <c r="AF15" i="31"/>
  <c r="AF12" i="31"/>
  <c r="AF6" i="31"/>
  <c r="AF9" i="31" s="1"/>
  <c r="AF4" i="31"/>
  <c r="AF16" i="29"/>
  <c r="AF9" i="29"/>
  <c r="AF5" i="29"/>
  <c r="AF11" i="29" s="1"/>
  <c r="AF4" i="29"/>
  <c r="AF35" i="13" l="1"/>
  <c r="AF18" i="29"/>
  <c r="AE18" i="31" l="1"/>
  <c r="AE9" i="31"/>
  <c r="D18" i="20"/>
  <c r="AE10" i="18" l="1"/>
  <c r="AE6" i="18"/>
  <c r="AP6" i="18" s="1"/>
  <c r="AE4" i="18" l="1"/>
  <c r="AE4" i="19"/>
  <c r="AE4" i="43"/>
  <c r="AE4" i="39"/>
  <c r="AE6" i="40"/>
  <c r="AE5" i="40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E7" i="40" l="1"/>
  <c r="AG14" i="40"/>
  <c r="AH14" i="40"/>
  <c r="AE10" i="40"/>
  <c r="AE9" i="40"/>
  <c r="AE5" i="18"/>
  <c r="AP5" i="18" s="1"/>
  <c r="AP7" i="18" s="1"/>
  <c r="AE11" i="40"/>
  <c r="AG15" i="40" l="1"/>
  <c r="AG16" i="40" s="1"/>
  <c r="AH15" i="40"/>
  <c r="AH16" i="40" s="1"/>
  <c r="AE11" i="18"/>
  <c r="AE7" i="18"/>
  <c r="I34" i="4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O9" i="18"/>
  <c r="AO8" i="18"/>
  <c r="AD4" i="18"/>
  <c r="AD4" i="19"/>
  <c r="AO25" i="43"/>
  <c r="AO24" i="43"/>
  <c r="AO23" i="43"/>
  <c r="AO22" i="43"/>
  <c r="AO21" i="43"/>
  <c r="AO20" i="43"/>
  <c r="AO19" i="43"/>
  <c r="AO18" i="43"/>
  <c r="AO17" i="43"/>
  <c r="AO16" i="43"/>
  <c r="AO15" i="43"/>
  <c r="AO14" i="43"/>
  <c r="AO13" i="43"/>
  <c r="AO12" i="43"/>
  <c r="AO11" i="43"/>
  <c r="AO10" i="43"/>
  <c r="AO9" i="43"/>
  <c r="AO8" i="43"/>
  <c r="AO7" i="43"/>
  <c r="AO6" i="43"/>
  <c r="AO5" i="43"/>
  <c r="AD4" i="43"/>
  <c r="AO83" i="39"/>
  <c r="AO82" i="39"/>
  <c r="AO81" i="39"/>
  <c r="AO80" i="39"/>
  <c r="AO79" i="39"/>
  <c r="AO78" i="39"/>
  <c r="AO77" i="39"/>
  <c r="AO76" i="39"/>
  <c r="AO75" i="39"/>
  <c r="AO74" i="39"/>
  <c r="AO73" i="39"/>
  <c r="AO72" i="39"/>
  <c r="AO71" i="39"/>
  <c r="AO70" i="39"/>
  <c r="AO69" i="39"/>
  <c r="AO68" i="39"/>
  <c r="AO67" i="39"/>
  <c r="AO66" i="39"/>
  <c r="AO65" i="39"/>
  <c r="AO64" i="39"/>
  <c r="AO63" i="39"/>
  <c r="AO62" i="39"/>
  <c r="AO61" i="39"/>
  <c r="AO60" i="39"/>
  <c r="AO56" i="39"/>
  <c r="AO55" i="39"/>
  <c r="AO54" i="39"/>
  <c r="AO53" i="39"/>
  <c r="AO52" i="39"/>
  <c r="AO51" i="39"/>
  <c r="AO50" i="39"/>
  <c r="AO49" i="39"/>
  <c r="AO48" i="39"/>
  <c r="AO47" i="39"/>
  <c r="AO46" i="39"/>
  <c r="AO45" i="39"/>
  <c r="AO44" i="39"/>
  <c r="AO43" i="39"/>
  <c r="AO42" i="39"/>
  <c r="AO41" i="39"/>
  <c r="AO40" i="39"/>
  <c r="AO39" i="39"/>
  <c r="AO38" i="39"/>
  <c r="AO37" i="39"/>
  <c r="AO36" i="39"/>
  <c r="AO35" i="39"/>
  <c r="AO34" i="39"/>
  <c r="AO33" i="39"/>
  <c r="AO28" i="39"/>
  <c r="AO27" i="39"/>
  <c r="AO26" i="39"/>
  <c r="AO25" i="39"/>
  <c r="AO23" i="39"/>
  <c r="AO22" i="39"/>
  <c r="AO21" i="39"/>
  <c r="AO20" i="39"/>
  <c r="AO18" i="39"/>
  <c r="AO17" i="39"/>
  <c r="AO14" i="39"/>
  <c r="AO13" i="39"/>
  <c r="AO12" i="39"/>
  <c r="AO11" i="39"/>
  <c r="AO9" i="39"/>
  <c r="AO8" i="39"/>
  <c r="AO7" i="39"/>
  <c r="AO6" i="39"/>
  <c r="AD4" i="39"/>
  <c r="AD4" i="32"/>
  <c r="Y20" i="44"/>
  <c r="X20" i="44"/>
  <c r="AO9" i="44"/>
  <c r="AO8" i="44" s="1"/>
  <c r="AD4" i="31"/>
  <c r="AD7" i="40"/>
  <c r="AD9" i="40"/>
  <c r="AD10" i="40"/>
  <c r="AD4" i="29"/>
  <c r="AE13" i="18" l="1"/>
  <c r="AP11" i="18"/>
  <c r="AP13" i="18" s="1"/>
  <c r="W34" i="4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S29" i="39" s="1"/>
  <c r="T10" i="39"/>
  <c r="T15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T29" i="39" l="1"/>
  <c r="V29" i="39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O10" i="39"/>
  <c r="AB29" i="39"/>
  <c r="AO19" i="39"/>
  <c r="W29" i="39"/>
  <c r="X29" i="39"/>
  <c r="Y29" i="39"/>
  <c r="AA15" i="39"/>
  <c r="Z29" i="39"/>
  <c r="AO24" i="39"/>
  <c r="U29" i="39"/>
  <c r="AC29" i="39"/>
  <c r="AO16" i="39"/>
  <c r="P14" i="32"/>
  <c r="P28" i="32" s="1"/>
  <c r="P30" i="32" s="1"/>
  <c r="P33" i="32" s="1"/>
  <c r="P36" i="32" s="1"/>
  <c r="P38" i="32" s="1"/>
  <c r="P40" i="32" s="1"/>
  <c r="P5" i="40"/>
  <c r="AA29" i="39" l="1"/>
  <c r="AO29" i="39" s="1"/>
  <c r="AO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N83" i="39"/>
  <c r="AM83" i="39"/>
  <c r="AN82" i="39"/>
  <c r="AM82" i="39"/>
  <c r="AN81" i="39"/>
  <c r="AM81" i="39"/>
  <c r="AN80" i="39"/>
  <c r="AM80" i="39"/>
  <c r="AN79" i="39"/>
  <c r="AM79" i="39"/>
  <c r="AN78" i="39"/>
  <c r="AM78" i="39"/>
  <c r="AN77" i="39"/>
  <c r="AM77" i="39"/>
  <c r="AN76" i="39"/>
  <c r="AM76" i="39"/>
  <c r="AN75" i="39"/>
  <c r="AM75" i="39"/>
  <c r="AN74" i="39"/>
  <c r="AM74" i="39"/>
  <c r="AN73" i="39"/>
  <c r="AM73" i="39"/>
  <c r="AN72" i="39"/>
  <c r="AM72" i="39"/>
  <c r="AN71" i="39"/>
  <c r="AM71" i="39"/>
  <c r="AN70" i="39"/>
  <c r="AM70" i="39"/>
  <c r="AN69" i="39"/>
  <c r="AM69" i="39"/>
  <c r="AN68" i="39"/>
  <c r="AM68" i="39"/>
  <c r="AN67" i="39"/>
  <c r="AM67" i="39"/>
  <c r="AN66" i="39"/>
  <c r="AM66" i="39"/>
  <c r="AN65" i="39"/>
  <c r="AM65" i="39"/>
  <c r="AN64" i="39"/>
  <c r="AM64" i="39"/>
  <c r="AN63" i="39"/>
  <c r="AM63" i="39"/>
  <c r="AN62" i="39"/>
  <c r="AM62" i="39"/>
  <c r="AN61" i="39"/>
  <c r="AM61" i="39"/>
  <c r="AN60" i="39"/>
  <c r="AM60" i="39"/>
  <c r="AN56" i="39"/>
  <c r="AM56" i="39"/>
  <c r="AN55" i="39"/>
  <c r="AM55" i="39"/>
  <c r="AN54" i="39"/>
  <c r="AM54" i="39"/>
  <c r="AN53" i="39"/>
  <c r="AM53" i="39"/>
  <c r="AN52" i="39"/>
  <c r="AM52" i="39"/>
  <c r="AN51" i="39"/>
  <c r="AM51" i="39"/>
  <c r="AN50" i="39"/>
  <c r="AM50" i="39"/>
  <c r="AN49" i="39"/>
  <c r="AM49" i="39"/>
  <c r="AN48" i="39"/>
  <c r="AM48" i="39"/>
  <c r="AN47" i="39"/>
  <c r="AM47" i="39"/>
  <c r="AN46" i="39"/>
  <c r="AM46" i="39"/>
  <c r="AN45" i="39"/>
  <c r="AM45" i="39"/>
  <c r="AN44" i="39"/>
  <c r="AM44" i="39"/>
  <c r="AN43" i="39"/>
  <c r="AM43" i="39"/>
  <c r="AN42" i="39"/>
  <c r="AM42" i="39"/>
  <c r="AN41" i="39"/>
  <c r="AM41" i="39"/>
  <c r="AN40" i="39"/>
  <c r="AM40" i="39"/>
  <c r="AN39" i="39"/>
  <c r="AM39" i="39"/>
  <c r="AN38" i="39"/>
  <c r="AM38" i="39"/>
  <c r="AN37" i="39"/>
  <c r="AM37" i="39"/>
  <c r="AN36" i="39"/>
  <c r="AM36" i="39"/>
  <c r="AN35" i="39"/>
  <c r="AM35" i="39"/>
  <c r="AN34" i="39"/>
  <c r="AM34" i="39"/>
  <c r="AN33" i="39"/>
  <c r="AM33" i="39"/>
  <c r="AN29" i="39"/>
  <c r="AM29" i="39"/>
  <c r="AN28" i="39"/>
  <c r="AM28" i="39"/>
  <c r="AN27" i="39"/>
  <c r="AM27" i="39"/>
  <c r="AN26" i="39"/>
  <c r="AM26" i="39"/>
  <c r="AN25" i="39"/>
  <c r="AM25" i="39"/>
  <c r="AN24" i="39"/>
  <c r="AM24" i="39"/>
  <c r="AN23" i="39"/>
  <c r="AM23" i="39"/>
  <c r="AN22" i="39"/>
  <c r="AM22" i="39"/>
  <c r="AN21" i="39"/>
  <c r="AM21" i="39"/>
  <c r="AN20" i="39"/>
  <c r="AM20" i="39"/>
  <c r="AN19" i="39"/>
  <c r="AM19" i="39"/>
  <c r="AN18" i="39"/>
  <c r="AM18" i="39"/>
  <c r="AN17" i="39"/>
  <c r="AM17" i="39"/>
  <c r="AN16" i="39"/>
  <c r="AM16" i="39"/>
  <c r="AN15" i="39"/>
  <c r="AM15" i="39"/>
  <c r="AN14" i="39"/>
  <c r="AM14" i="39"/>
  <c r="AN13" i="39"/>
  <c r="AM13" i="39"/>
  <c r="AN12" i="39"/>
  <c r="AM12" i="39"/>
  <c r="AN11" i="39"/>
  <c r="AM11" i="39"/>
  <c r="AN10" i="39"/>
  <c r="AM10" i="39"/>
  <c r="AN9" i="39"/>
  <c r="AM9" i="39"/>
  <c r="AN8" i="39"/>
  <c r="AM8" i="39"/>
  <c r="AN7" i="39"/>
  <c r="AM7" i="39"/>
  <c r="AN6" i="39"/>
  <c r="AM6" i="39"/>
  <c r="AN48" i="32"/>
  <c r="AM48" i="32"/>
  <c r="AL48" i="32"/>
  <c r="AN47" i="32"/>
  <c r="AM47" i="32"/>
  <c r="AL47" i="32"/>
  <c r="AN46" i="32"/>
  <c r="AM46" i="32"/>
  <c r="AL46" i="32"/>
  <c r="AN45" i="32"/>
  <c r="AM45" i="32"/>
  <c r="AL45" i="32"/>
  <c r="AN44" i="32"/>
  <c r="AM44" i="32"/>
  <c r="AL44" i="32"/>
  <c r="AN43" i="32"/>
  <c r="AM43" i="32"/>
  <c r="AL43" i="32"/>
  <c r="AN42" i="32"/>
  <c r="AM42" i="32"/>
  <c r="AL42" i="32"/>
  <c r="AN41" i="32"/>
  <c r="AM41" i="32"/>
  <c r="AL41" i="32"/>
  <c r="AN40" i="32"/>
  <c r="AM40" i="32"/>
  <c r="AL40" i="32"/>
  <c r="AN39" i="32"/>
  <c r="AM39" i="32"/>
  <c r="AL39" i="32"/>
  <c r="AN38" i="32"/>
  <c r="AM38" i="32"/>
  <c r="AL38" i="32"/>
  <c r="AN37" i="32"/>
  <c r="AM37" i="32"/>
  <c r="AL37" i="32"/>
  <c r="AN36" i="32"/>
  <c r="AM36" i="32"/>
  <c r="AL36" i="32"/>
  <c r="AN35" i="32"/>
  <c r="AM35" i="32"/>
  <c r="AL35" i="32"/>
  <c r="AN34" i="32"/>
  <c r="AM34" i="32"/>
  <c r="AL34" i="32"/>
  <c r="AN33" i="32"/>
  <c r="AM33" i="32"/>
  <c r="AL33" i="32"/>
  <c r="AN32" i="32"/>
  <c r="AM32" i="32"/>
  <c r="AL32" i="32"/>
  <c r="AN31" i="32"/>
  <c r="AM31" i="32"/>
  <c r="AL31" i="32"/>
  <c r="AN30" i="32"/>
  <c r="AM30" i="32"/>
  <c r="AL30" i="32"/>
  <c r="AN29" i="32"/>
  <c r="AM29" i="32"/>
  <c r="AL29" i="32"/>
  <c r="AN28" i="32"/>
  <c r="AM28" i="32"/>
  <c r="AL28" i="32"/>
  <c r="AN27" i="32"/>
  <c r="AM27" i="32"/>
  <c r="AL27" i="32"/>
  <c r="AN26" i="32"/>
  <c r="AM26" i="32"/>
  <c r="AL26" i="32"/>
  <c r="AN25" i="32"/>
  <c r="AM25" i="32"/>
  <c r="AL25" i="32"/>
  <c r="AN24" i="32"/>
  <c r="AM24" i="32"/>
  <c r="AL24" i="32"/>
  <c r="AN23" i="32"/>
  <c r="AM23" i="32"/>
  <c r="AL23" i="32"/>
  <c r="AN22" i="32"/>
  <c r="AM22" i="32"/>
  <c r="AL22" i="32"/>
  <c r="AN21" i="32"/>
  <c r="AM21" i="32"/>
  <c r="AL21" i="32"/>
  <c r="AN20" i="32"/>
  <c r="AM20" i="32"/>
  <c r="AL20" i="32"/>
  <c r="AN19" i="32"/>
  <c r="AM19" i="32"/>
  <c r="AL19" i="32"/>
  <c r="AN18" i="32"/>
  <c r="AM18" i="32"/>
  <c r="AL18" i="32"/>
  <c r="AN17" i="32"/>
  <c r="AM17" i="32"/>
  <c r="AL17" i="32"/>
  <c r="AN16" i="32"/>
  <c r="AM16" i="32"/>
  <c r="AL16" i="32"/>
  <c r="AN15" i="32"/>
  <c r="AM15" i="32"/>
  <c r="AL15" i="32"/>
  <c r="AN14" i="32"/>
  <c r="AM14" i="32"/>
  <c r="AL14" i="32"/>
  <c r="AN13" i="32"/>
  <c r="AM13" i="32"/>
  <c r="AL13" i="32"/>
  <c r="AN12" i="32"/>
  <c r="AM12" i="32"/>
  <c r="AL12" i="32"/>
  <c r="AN11" i="32"/>
  <c r="AM11" i="32"/>
  <c r="AL11" i="32"/>
  <c r="AN10" i="32"/>
  <c r="AM10" i="32"/>
  <c r="AL10" i="32"/>
  <c r="AN9" i="32"/>
  <c r="AM9" i="32"/>
  <c r="AL9" i="32"/>
  <c r="AN8" i="32"/>
  <c r="AM8" i="32"/>
  <c r="AL8" i="32"/>
  <c r="AN7" i="32"/>
  <c r="AM7" i="32"/>
  <c r="AL7" i="32"/>
  <c r="AN6" i="32"/>
  <c r="AM6" i="32"/>
  <c r="AL6" i="32"/>
  <c r="AN5" i="32"/>
  <c r="AM5" i="32"/>
  <c r="AL5" i="32"/>
  <c r="AN20" i="44" l="1"/>
  <c r="AM20" i="44"/>
  <c r="AL20" i="44"/>
  <c r="AN19" i="44"/>
  <c r="AM19" i="44"/>
  <c r="AL19" i="44"/>
  <c r="AN18" i="44"/>
  <c r="AM18" i="44"/>
  <c r="AL18" i="44"/>
  <c r="AN17" i="44"/>
  <c r="AM17" i="44"/>
  <c r="AL17" i="44"/>
  <c r="AN16" i="44"/>
  <c r="AM16" i="44"/>
  <c r="AL16" i="44"/>
  <c r="AN15" i="44"/>
  <c r="AM15" i="44"/>
  <c r="AL15" i="44"/>
  <c r="AN14" i="44"/>
  <c r="AM14" i="44"/>
  <c r="AL14" i="44"/>
  <c r="AN13" i="44"/>
  <c r="AM13" i="44"/>
  <c r="AL13" i="44"/>
  <c r="AN12" i="44"/>
  <c r="AM12" i="44"/>
  <c r="AL12" i="44"/>
  <c r="AN11" i="44"/>
  <c r="AM11" i="44"/>
  <c r="AL11" i="44"/>
  <c r="AN10" i="44"/>
  <c r="AM10" i="44"/>
  <c r="AL10" i="44"/>
  <c r="AN9" i="44"/>
  <c r="AM9" i="44"/>
  <c r="AL9" i="44"/>
  <c r="AN8" i="44"/>
  <c r="AM8" i="44"/>
  <c r="AL8" i="44"/>
  <c r="AN7" i="44"/>
  <c r="AM7" i="44"/>
  <c r="AL7" i="44"/>
  <c r="AN6" i="44"/>
  <c r="AM6" i="44"/>
  <c r="AL6" i="44"/>
  <c r="AN5" i="44"/>
  <c r="AM5" i="44"/>
  <c r="AL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V16" i="40" l="1"/>
  <c r="AC11" i="40"/>
  <c r="AF15" i="40"/>
  <c r="AF16" i="40" s="1"/>
  <c r="AE15" i="40"/>
  <c r="AE16" i="40" s="1"/>
  <c r="AD15" i="40"/>
  <c r="AD16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AG17" i="40" s="1"/>
  <c r="W15" i="40"/>
  <c r="W16" i="40" s="1"/>
  <c r="R16" i="40"/>
  <c r="R17" i="40" s="1"/>
  <c r="AE17" i="40" l="1"/>
  <c r="AF17" i="40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U34" i="41" l="1"/>
  <c r="N12" i="41"/>
  <c r="AB12" i="41" s="1"/>
  <c r="AB34" i="41" s="1"/>
  <c r="AA12" i="41"/>
  <c r="AA34" i="41" s="1"/>
  <c r="S34" i="41"/>
  <c r="T34" i="41"/>
  <c r="V34" i="41"/>
  <c r="X34" i="41"/>
  <c r="Y34" i="41"/>
  <c r="Z34" i="41"/>
  <c r="O12" i="41" l="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N11" i="18"/>
  <c r="AN8" i="18"/>
  <c r="AN9" i="18"/>
  <c r="AO10" i="18" l="1"/>
  <c r="AN10" i="18"/>
  <c r="AN12" i="18"/>
  <c r="AN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O6" i="18" s="1"/>
  <c r="AC5" i="18"/>
  <c r="AO5" i="18" s="1"/>
  <c r="D17" i="20"/>
  <c r="AC15" i="31"/>
  <c r="AC6" i="31"/>
  <c r="AC9" i="31" s="1"/>
  <c r="AC21" i="31" l="1"/>
  <c r="AC18" i="31"/>
  <c r="AC11" i="18"/>
  <c r="AC12" i="18"/>
  <c r="AO12" i="18" s="1"/>
  <c r="AC7" i="18"/>
  <c r="AC5" i="13"/>
  <c r="AC35" i="13" s="1"/>
  <c r="AC13" i="18" l="1"/>
  <c r="AO7" i="18"/>
  <c r="AC12" i="31"/>
  <c r="AC16" i="29"/>
  <c r="AC9" i="29"/>
  <c r="AC5" i="29"/>
  <c r="AC11" i="29" l="1"/>
  <c r="AC18" i="29"/>
  <c r="AA13" i="18"/>
  <c r="AB11" i="18"/>
  <c r="AO11" i="18" l="1"/>
  <c r="AO13" i="18" s="1"/>
  <c r="AB13" i="18"/>
  <c r="AB16" i="29"/>
  <c r="AB9" i="29"/>
  <c r="AB5" i="29"/>
  <c r="AB11" i="29" l="1"/>
  <c r="AB18" i="29" s="1"/>
  <c r="AO7" i="44" l="1"/>
  <c r="AO13" i="44" s="1"/>
  <c r="AO16" i="44" s="1"/>
  <c r="AO18" i="44" s="1"/>
  <c r="AO20" i="44" s="1"/>
</calcChain>
</file>

<file path=xl/sharedStrings.xml><?xml version="1.0" encoding="utf-8"?>
<sst xmlns="http://schemas.openxmlformats.org/spreadsheetml/2006/main" count="3857" uniqueCount="393">
  <si>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</si>
  <si>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</si>
  <si>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</si>
  <si>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</si>
  <si>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</si>
  <si>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</si>
  <si>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</si>
  <si>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</si>
  <si>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</si>
  <si>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</si>
  <si>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</si>
  <si>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</si>
  <si>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</si>
  <si>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</si>
  <si>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</si>
  <si>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</si>
  <si>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</si>
  <si>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</si>
  <si>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</si>
  <si>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</si>
  <si>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</si>
  <si>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</si>
  <si>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</si>
  <si>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</si>
  <si>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</si>
  <si>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</si>
  <si>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</si>
  <si>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</si>
  <si>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</si>
  <si>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</si>
  <si>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</si>
  <si>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</si>
  <si>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</si>
  <si>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</si>
  <si>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</si>
  <si>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</si>
  <si>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</si>
  <si>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</si>
  <si>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</si>
  <si>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</si>
  <si>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</si>
  <si>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</si>
  <si>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</si>
  <si>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</si>
  <si>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</si>
  <si>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</si>
  <si>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</si>
  <si>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</si>
  <si>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</si>
  <si>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</si>
  <si>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</si>
  <si>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</si>
  <si>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</si>
  <si>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</si>
  <si>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</si>
  <si>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</si>
  <si>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</si>
  <si>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</si>
  <si>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</si>
  <si>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</si>
  <si>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</si>
  <si>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</si>
  <si>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</si>
  <si>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</si>
  <si>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</si>
  <si>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</si>
  <si>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</si>
  <si>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</si>
  <si>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</si>
  <si>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</si>
  <si>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</si>
  <si>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</si>
  <si>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</si>
  <si>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</si>
  <si>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</si>
  <si>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</si>
  <si>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</si>
  <si>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</si>
  <si>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</si>
  <si>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</si>
  <si>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</si>
  <si>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</si>
  <si>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</si>
  <si>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</si>
  <si>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</si>
  <si>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</si>
  <si>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</si>
  <si>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</si>
  <si>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</si>
  <si>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</si>
  <si>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</si>
  <si>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</si>
  <si>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</si>
  <si>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</si>
  <si>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</si>
  <si>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</si>
  <si>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</si>
  <si>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</si>
  <si>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</si>
  <si>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</si>
  <si>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</si>
  <si>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</si>
  <si>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</si>
  <si>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</si>
  <si>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</si>
  <si>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</si>
  <si>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</si>
  <si>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</si>
  <si>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</si>
  <si>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</si>
  <si>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</si>
  <si>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</si>
  <si>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</si>
  <si>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</si>
  <si>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</si>
  <si>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</si>
  <si>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</si>
  <si>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</si>
  <si>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</si>
  <si>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</si>
  <si>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</si>
  <si>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</si>
  <si>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</si>
  <si>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</si>
  <si>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</si>
  <si>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</si>
  <si>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</si>
  <si>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</si>
  <si>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</si>
  <si>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</si>
  <si>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</si>
  <si>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</si>
  <si>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</si>
  <si>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</si>
  <si>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</si>
  <si>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</si>
  <si>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</si>
  <si>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</si>
  <si>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</si>
  <si>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</si>
  <si>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</si>
  <si>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</si>
  <si>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</si>
  <si>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</si>
  <si>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</si>
  <si>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</si>
  <si>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</si>
  <si>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</si>
  <si>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</si>
  <si>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</si>
  <si>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</si>
  <si>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</si>
  <si>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</si>
  <si>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</si>
  <si>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</si>
  <si>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</si>
  <si>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</si>
  <si>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</si>
  <si>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</si>
  <si>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</si>
  <si>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</si>
  <si>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</si>
  <si>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</si>
  <si>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</si>
  <si>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</si>
  <si>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</si>
  <si>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</si>
  <si>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</si>
  <si>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</si>
  <si>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</si>
  <si>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</si>
  <si>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</si>
  <si>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</si>
  <si>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</si>
  <si>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</si>
  <si>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</si>
  <si>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</si>
  <si>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</si>
  <si>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</si>
  <si>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</si>
  <si>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</si>
  <si>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</si>
  <si>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</si>
  <si>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</si>
  <si>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</si>
  <si>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</si>
  <si>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</si>
  <si>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</si>
  <si>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</si>
  <si>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</si>
  <si>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</si>
  <si>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</si>
  <si>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</si>
  <si>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</si>
  <si>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</si>
  <si>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</si>
  <si>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</si>
  <si>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</si>
  <si>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</si>
  <si>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</si>
  <si>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</si>
  <si>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</si>
  <si>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</si>
  <si>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</si>
  <si>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</si>
  <si>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</si>
  <si>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</si>
  <si>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</si>
  <si>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</si>
  <si>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</si>
  <si>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</si>
  <si>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</si>
  <si>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</si>
  <si>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</si>
  <si>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</si>
  <si>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</si>
  <si>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</si>
  <si>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</si>
  <si>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</si>
  <si>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</si>
  <si>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</si>
  <si>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</si>
  <si>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</si>
  <si>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</si>
  <si>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</si>
  <si>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</si>
  <si>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</si>
  <si>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</si>
  <si>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</si>
  <si>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</si>
  <si>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</si>
  <si>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</si>
  <si>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</si>
  <si>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</si>
  <si>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</si>
  <si>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</si>
  <si>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</si>
  <si>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</si>
  <si>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</si>
  <si>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</si>
  <si>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</si>
  <si>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</si>
  <si>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</si>
  <si>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</si>
  <si>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</si>
  <si>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</si>
  <si>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</si>
  <si>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</si>
  <si>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</si>
  <si>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</si>
  <si>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</si>
  <si>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</si>
  <si>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</si>
  <si>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</si>
  <si>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</si>
  <si>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</si>
  <si>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</si>
  <si>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</si>
  <si>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</si>
  <si>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</si>
  <si>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</si>
  <si>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</si>
  <si>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</si>
  <si>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</si>
  <si>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</si>
  <si>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</si>
  <si>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</si>
  <si>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</si>
  <si>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</si>
  <si>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</si>
  <si>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</si>
  <si>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</si>
  <si>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</si>
  <si>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</si>
  <si>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</si>
  <si>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</si>
  <si>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</si>
  <si>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</si>
  <si>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</si>
  <si>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</si>
  <si>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</si>
  <si>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</si>
  <si>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</si>
  <si>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</si>
  <si>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</si>
  <si>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</si>
  <si>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</si>
  <si>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</si>
  <si>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</si>
  <si>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</si>
  <si>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</si>
  <si>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</si>
  <si>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</si>
  <si>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</si>
  <si>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</si>
  <si>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</si>
  <si>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</si>
  <si>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</si>
  <si>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</si>
  <si>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</si>
  <si>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</si>
  <si>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</si>
  <si>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</si>
  <si>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</si>
  <si>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</si>
  <si>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</si>
  <si>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</si>
  <si>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</si>
  <si>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</si>
  <si>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</si>
  <si>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</si>
  <si>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</si>
  <si>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</si>
  <si>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</si>
  <si>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</si>
  <si>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</si>
  <si>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</si>
  <si>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</si>
  <si>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</si>
  <si>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</si>
  <si>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</si>
  <si>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</si>
  <si>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</si>
  <si>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</si>
  <si>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</si>
  <si>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</si>
  <si>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</si>
  <si>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</si>
  <si>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</si>
  <si>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</si>
  <si>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</si>
  <si>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</si>
  <si>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</si>
  <si>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</si>
  <si>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</si>
  <si>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</si>
  <si>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</si>
  <si>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</si>
  <si>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</si>
  <si>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</si>
  <si>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</si>
  <si>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</si>
  <si>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</si>
  <si>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</si>
  <si>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</si>
  <si>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</si>
  <si>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</si>
  <si>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</si>
  <si>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</si>
  <si>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</si>
  <si>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</si>
  <si>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</si>
  <si>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</si>
  <si>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</si>
  <si>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</si>
  <si>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</si>
  <si>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</si>
  <si>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</si>
  <si>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</si>
  <si>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</si>
  <si>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</si>
  <si>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</si>
  <si>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</si>
  <si>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</si>
  <si>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</si>
  <si>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</si>
  <si>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</si>
  <si>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</si>
  <si>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</si>
  <si>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</si>
  <si>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</si>
  <si>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</si>
  <si>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</si>
  <si>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</si>
  <si>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</si>
  <si>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</si>
  <si>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</si>
  <si>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</si>
  <si>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</si>
  <si>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</si>
  <si>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</si>
  <si>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</si>
  <si>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</si>
  <si>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</si>
  <si>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</si>
  <si>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</si>
  <si>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</si>
  <si>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</si>
  <si>
    <t>Lucro Líquido Ajustado, atribuível aos acionistas controladores</t>
  </si>
  <si>
    <t>3T25</t>
  </si>
  <si>
    <t>4T25</t>
  </si>
  <si>
    <t>1T26</t>
  </si>
  <si>
    <t>2T26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</si>
</sst>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color rgb="FF4C4C4C"/>
      <name val="AmsiPro-Light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0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5" xfId="0" applyFont="1" applyFill="1" applyBorder="1" applyAlignment="1">
      <alignment horizontal="center"/>
    </xf>
    <xf numFmtId="3" fontId="0" fillId="40" borderId="46" xfId="0" applyNumberFormat="1" applyFill="1" applyBorder="1" applyAlignment="1">
      <alignment horizontal="center"/>
    </xf>
    <xf numFmtId="3" fontId="0" fillId="40" borderId="47" xfId="0" applyNumberFormat="1" applyFill="1" applyBorder="1" applyAlignment="1">
      <alignment horizontal="center"/>
    </xf>
    <xf numFmtId="165" fontId="0" fillId="0" borderId="0" xfId="3" applyNumberFormat="1" applyFont="1" applyAlignment="1">
      <alignment horizontal="center"/>
    </xf>
    <xf numFmtId="0" fontId="49" fillId="37" borderId="61" xfId="0" applyFont="1" applyFill="1" applyBorder="1"/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0" fillId="0" borderId="61" xfId="0" applyBorder="1"/>
    <xf numFmtId="0" fontId="68" fillId="0" borderId="60" xfId="0" applyFont="1" applyBorder="1"/>
    <xf numFmtId="0" fontId="0" fillId="0" borderId="59" xfId="0" applyBorder="1"/>
    <xf numFmtId="0" fontId="0" fillId="0" borderId="44" xfId="0" applyBorder="1"/>
    <xf numFmtId="0" fontId="68" fillId="0" borderId="61" xfId="0" applyFont="1" applyBorder="1"/>
    <xf numFmtId="0" fontId="68" fillId="0" borderId="0" xfId="0" applyFont="1"/>
    <xf numFmtId="3" fontId="0" fillId="40" borderId="0" xfId="0" applyNumberFormat="1" applyFill="1" applyAlignment="1">
      <alignment horizontal="center"/>
    </xf>
    <xf numFmtId="3" fontId="0" fillId="31" borderId="20" xfId="0" applyNumberFormat="1" applyFill="1" applyBorder="1" applyAlignment="1">
      <alignment horizontal="center"/>
    </xf>
    <xf numFmtId="3" fontId="0" fillId="31" borderId="4" xfId="0" applyNumberFormat="1" applyFill="1" applyBorder="1" applyAlignment="1">
      <alignment horizontal="center"/>
    </xf>
    <xf numFmtId="164" fontId="71" fillId="0" borderId="51" xfId="1" applyNumberFormat="1" applyFont="1" applyBorder="1" applyAlignment="1">
      <alignment horizontal="center" vertical="center" wrapText="1"/>
    </xf>
    <xf numFmtId="197" fontId="71" fillId="0" borderId="51" xfId="1" applyNumberFormat="1" applyFont="1" applyBorder="1" applyAlignment="1">
      <alignment horizontal="center" vertical="center" wrapText="1"/>
    </xf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" xfId="1" builtinId="3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Hyperlink" xfId="252" builtinId="8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" xfId="3" builtinId="5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/>
  </sheetViews>
  <sheetFormatPr defaultColWidth="0" defaultRowHeight="15" zeroHeight="1"/>
  <cols>
    <col min="1" max="14" width="9.140625" style="264" customWidth="1"/>
    <col min="15" max="16384" width="0" style="264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J18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E25" sqref="AE25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6" ht="18.75">
      <c r="B1" s="331" t="s">
        <v>367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2:36">
      <c r="B2" s="280" t="s">
        <v>379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</row>
    <row r="3" spans="2:36">
      <c r="B3" s="280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</row>
    <row r="4" spans="2:36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  <c r="AJ4" s="131" t="str">
        <f>'Histórico Ebitda LTM'!AJ4</f>
        <v>2T26</v>
      </c>
    </row>
    <row r="5" spans="2:36">
      <c r="B5" s="116" t="s">
        <v>274</v>
      </c>
      <c r="C5" s="151" t="s">
        <v>340</v>
      </c>
      <c r="D5" s="151" t="s">
        <v>340</v>
      </c>
      <c r="E5" s="151" t="s">
        <v>340</v>
      </c>
      <c r="F5" s="151" t="s">
        <v>340</v>
      </c>
      <c r="G5" s="151" t="s">
        <v>340</v>
      </c>
      <c r="H5" s="151" t="s">
        <v>340</v>
      </c>
      <c r="I5" s="151" t="s">
        <v>340</v>
      </c>
      <c r="J5" s="151" t="s">
        <v>340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 t="shared" ref="AE5:AJ5" si="0">SUM(AE6:AE8)</f>
        <v>334069</v>
      </c>
      <c r="AF5" s="117">
        <f t="shared" si="0"/>
        <v>332865</v>
      </c>
      <c r="AG5" s="117">
        <f t="shared" si="0"/>
        <v>312408</v>
      </c>
      <c r="AH5" s="117">
        <f t="shared" si="0"/>
        <v>310748</v>
      </c>
      <c r="AI5" s="117">
        <f t="shared" si="0"/>
        <v>313352</v>
      </c>
      <c r="AJ5" s="117">
        <f t="shared" si="0"/>
        <v>302394</v>
      </c>
    </row>
    <row r="6" spans="2:36">
      <c r="B6" s="118" t="s">
        <v>251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  <c r="AG6" s="119">
        <v>194838</v>
      </c>
      <c r="AH6" s="119">
        <v>187378</v>
      </c>
      <c r="AI6" s="119">
        <v>207330</v>
      </c>
      <c r="AJ6" s="119">
        <v>193582</v>
      </c>
    </row>
    <row r="7" spans="2:36">
      <c r="B7" s="118" t="s">
        <v>252</v>
      </c>
      <c r="C7" s="152" t="s">
        <v>340</v>
      </c>
      <c r="D7" s="152" t="s">
        <v>340</v>
      </c>
      <c r="E7" s="152" t="s">
        <v>340</v>
      </c>
      <c r="F7" s="152" t="s">
        <v>340</v>
      </c>
      <c r="G7" s="152" t="s">
        <v>340</v>
      </c>
      <c r="H7" s="152" t="s">
        <v>340</v>
      </c>
      <c r="I7" s="152" t="s">
        <v>340</v>
      </c>
      <c r="J7" s="152" t="s">
        <v>340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  <c r="AG7" s="119">
        <v>105349</v>
      </c>
      <c r="AH7" s="119">
        <v>111181</v>
      </c>
      <c r="AI7" s="119">
        <v>93428</v>
      </c>
      <c r="AJ7" s="119">
        <v>96195</v>
      </c>
    </row>
    <row r="8" spans="2:36">
      <c r="B8" s="118" t="s">
        <v>253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  <c r="AG8" s="119">
        <v>12221</v>
      </c>
      <c r="AH8" s="119">
        <v>12189</v>
      </c>
      <c r="AI8" s="119">
        <v>12594</v>
      </c>
      <c r="AJ8" s="119">
        <v>12617</v>
      </c>
    </row>
    <row r="9" spans="2:36">
      <c r="B9" s="120" t="s">
        <v>273</v>
      </c>
      <c r="C9" s="153" t="s">
        <v>340</v>
      </c>
      <c r="D9" s="153" t="s">
        <v>340</v>
      </c>
      <c r="E9" s="153" t="s">
        <v>340</v>
      </c>
      <c r="F9" s="153" t="s">
        <v>340</v>
      </c>
      <c r="G9" s="153" t="s">
        <v>340</v>
      </c>
      <c r="H9" s="153" t="s">
        <v>340</v>
      </c>
      <c r="I9" s="153" t="s">
        <v>340</v>
      </c>
      <c r="J9" s="153" t="s">
        <v>340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 t="shared" ref="AE9:AJ9" si="1">AE10</f>
        <v>1853</v>
      </c>
      <c r="AF9" s="121">
        <f t="shared" si="1"/>
        <v>1847</v>
      </c>
      <c r="AG9" s="121">
        <f t="shared" si="1"/>
        <v>1580</v>
      </c>
      <c r="AH9" s="121">
        <f t="shared" si="1"/>
        <v>1619</v>
      </c>
      <c r="AI9" s="121">
        <f t="shared" si="1"/>
        <v>1717</v>
      </c>
      <c r="AJ9" s="121">
        <f t="shared" si="1"/>
        <v>1697</v>
      </c>
    </row>
    <row r="10" spans="2:36">
      <c r="B10" s="118" t="s">
        <v>251</v>
      </c>
      <c r="C10" s="152" t="s">
        <v>340</v>
      </c>
      <c r="D10" s="152" t="s">
        <v>340</v>
      </c>
      <c r="E10" s="152" t="s">
        <v>340</v>
      </c>
      <c r="F10" s="152" t="s">
        <v>340</v>
      </c>
      <c r="G10" s="152" t="s">
        <v>340</v>
      </c>
      <c r="H10" s="152" t="s">
        <v>340</v>
      </c>
      <c r="I10" s="152" t="s">
        <v>340</v>
      </c>
      <c r="J10" s="152" t="s">
        <v>340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  <c r="AG10" s="119">
        <v>1580</v>
      </c>
      <c r="AH10" s="119">
        <v>1619</v>
      </c>
      <c r="AI10" s="119">
        <v>1717</v>
      </c>
      <c r="AJ10" s="119">
        <v>1697</v>
      </c>
    </row>
    <row r="11" spans="2:36">
      <c r="B11" s="122" t="s">
        <v>254</v>
      </c>
      <c r="C11" s="154" t="s">
        <v>340</v>
      </c>
      <c r="D11" s="154" t="s">
        <v>340</v>
      </c>
      <c r="E11" s="154" t="s">
        <v>340</v>
      </c>
      <c r="F11" s="154" t="s">
        <v>340</v>
      </c>
      <c r="G11" s="154" t="s">
        <v>340</v>
      </c>
      <c r="H11" s="154" t="s">
        <v>340</v>
      </c>
      <c r="I11" s="154" t="s">
        <v>340</v>
      </c>
      <c r="J11" s="154" t="s">
        <v>340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 t="shared" ref="AE11:AJ11" si="2">SUM(AE5,AE9)</f>
        <v>335922</v>
      </c>
      <c r="AF11" s="123">
        <f t="shared" si="2"/>
        <v>334712</v>
      </c>
      <c r="AG11" s="123">
        <f t="shared" si="2"/>
        <v>313988</v>
      </c>
      <c r="AH11" s="123">
        <f t="shared" si="2"/>
        <v>312367</v>
      </c>
      <c r="AI11" s="123">
        <f t="shared" si="2"/>
        <v>315069</v>
      </c>
      <c r="AJ11" s="123">
        <f t="shared" si="2"/>
        <v>304091</v>
      </c>
    </row>
    <row r="12" spans="2:36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</row>
    <row r="13" spans="2:36">
      <c r="B13" s="124" t="s">
        <v>251</v>
      </c>
      <c r="C13" s="155" t="s">
        <v>340</v>
      </c>
      <c r="D13" s="155" t="s">
        <v>340</v>
      </c>
      <c r="E13" s="155" t="s">
        <v>340</v>
      </c>
      <c r="F13" s="155" t="s">
        <v>340</v>
      </c>
      <c r="G13" s="155" t="s">
        <v>340</v>
      </c>
      <c r="H13" s="155" t="s">
        <v>340</v>
      </c>
      <c r="I13" s="155" t="s">
        <v>340</v>
      </c>
      <c r="J13" s="155" t="s">
        <v>340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  <c r="AG13" s="125">
        <v>7388</v>
      </c>
      <c r="AH13" s="125">
        <v>7078</v>
      </c>
      <c r="AI13" s="125">
        <v>6558</v>
      </c>
      <c r="AJ13" s="125">
        <v>5802</v>
      </c>
    </row>
    <row r="14" spans="2:36">
      <c r="B14" s="118" t="s">
        <v>252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  <c r="AG14" s="119">
        <v>31384</v>
      </c>
      <c r="AH14" s="119">
        <v>32012</v>
      </c>
      <c r="AI14" s="119">
        <v>31359</v>
      </c>
      <c r="AJ14" s="119">
        <v>28902</v>
      </c>
    </row>
    <row r="15" spans="2:36">
      <c r="B15" s="126" t="s">
        <v>253</v>
      </c>
      <c r="C15" s="156" t="s">
        <v>340</v>
      </c>
      <c r="D15" s="156" t="s">
        <v>340</v>
      </c>
      <c r="E15" s="156" t="s">
        <v>340</v>
      </c>
      <c r="F15" s="156" t="s">
        <v>340</v>
      </c>
      <c r="G15" s="156" t="s">
        <v>340</v>
      </c>
      <c r="H15" s="156" t="s">
        <v>340</v>
      </c>
      <c r="I15" s="156" t="s">
        <v>340</v>
      </c>
      <c r="J15" s="156" t="s">
        <v>340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  <c r="AG15" s="127">
        <v>8066</v>
      </c>
      <c r="AH15" s="127">
        <v>8963</v>
      </c>
      <c r="AI15" s="127">
        <v>8492</v>
      </c>
      <c r="AJ15" s="127">
        <v>9326</v>
      </c>
    </row>
    <row r="16" spans="2:36">
      <c r="B16" s="122" t="s">
        <v>255</v>
      </c>
      <c r="C16" s="154" t="s">
        <v>340</v>
      </c>
      <c r="D16" s="154" t="s">
        <v>340</v>
      </c>
      <c r="E16" s="154" t="s">
        <v>340</v>
      </c>
      <c r="F16" s="154" t="s">
        <v>340</v>
      </c>
      <c r="G16" s="154" t="s">
        <v>340</v>
      </c>
      <c r="H16" s="154" t="s">
        <v>340</v>
      </c>
      <c r="I16" s="154" t="s">
        <v>340</v>
      </c>
      <c r="J16" s="154" t="s">
        <v>340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 t="shared" ref="AE16:AJ16" si="3">SUM(AE13:AE15)</f>
        <v>45390</v>
      </c>
      <c r="AF16" s="123">
        <f t="shared" si="3"/>
        <v>48111</v>
      </c>
      <c r="AG16" s="123">
        <f t="shared" si="3"/>
        <v>46838</v>
      </c>
      <c r="AH16" s="123">
        <f t="shared" si="3"/>
        <v>48053</v>
      </c>
      <c r="AI16" s="123">
        <f t="shared" si="3"/>
        <v>46409</v>
      </c>
      <c r="AJ16" s="123">
        <f t="shared" si="3"/>
        <v>44030</v>
      </c>
    </row>
    <row r="17" spans="2:36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</row>
    <row r="18" spans="2:36">
      <c r="B18" s="122" t="s">
        <v>256</v>
      </c>
      <c r="C18" s="154" t="s">
        <v>340</v>
      </c>
      <c r="D18" s="154" t="s">
        <v>340</v>
      </c>
      <c r="E18" s="154" t="s">
        <v>340</v>
      </c>
      <c r="F18" s="154" t="s">
        <v>340</v>
      </c>
      <c r="G18" s="154" t="s">
        <v>340</v>
      </c>
      <c r="H18" s="154" t="s">
        <v>340</v>
      </c>
      <c r="I18" s="154" t="s">
        <v>340</v>
      </c>
      <c r="J18" s="154" t="s">
        <v>340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 t="shared" ref="AE18:AJ18" si="4">SUM(AE11,AE16)</f>
        <v>381312</v>
      </c>
      <c r="AF18" s="123">
        <f t="shared" si="4"/>
        <v>382823</v>
      </c>
      <c r="AG18" s="123">
        <f t="shared" si="4"/>
        <v>360826</v>
      </c>
      <c r="AH18" s="123">
        <f t="shared" si="4"/>
        <v>360420</v>
      </c>
      <c r="AI18" s="123">
        <f t="shared" si="4"/>
        <v>361478</v>
      </c>
      <c r="AJ18" s="123">
        <f t="shared" si="4"/>
        <v>348121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J21"/>
  <sheetViews>
    <sheetView showGridLines="0" zoomScale="85" zoomScaleNormal="85" workbookViewId="0">
      <pane xSplit="10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K3" sqref="AK3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6" ht="18.75">
      <c r="B1" s="331" t="s">
        <v>368</v>
      </c>
    </row>
    <row r="2" spans="1:36">
      <c r="A2" s="280"/>
      <c r="B2" s="280" t="s">
        <v>379</v>
      </c>
    </row>
    <row r="3" spans="1:36">
      <c r="A3" s="280"/>
    </row>
    <row r="4" spans="1:36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  <c r="AJ4" s="131" t="str">
        <f>'Histórico Ebitda LTM'!AJ4</f>
        <v>2T26</v>
      </c>
    </row>
    <row r="5" spans="1:36">
      <c r="B5" s="141" t="s">
        <v>251</v>
      </c>
      <c r="C5" s="281" t="str">
        <f>'Histórico Ebitda LTM'!C4</f>
        <v>1T18</v>
      </c>
      <c r="D5" s="281" t="str">
        <f>'Histórico Ebitda LTM'!D4</f>
        <v>2T18</v>
      </c>
      <c r="E5" s="281" t="str">
        <f>'Histórico Ebitda LTM'!E4</f>
        <v>3T18</v>
      </c>
      <c r="F5" s="281" t="str">
        <f>'Histórico Ebitda LTM'!F4</f>
        <v>4T18</v>
      </c>
      <c r="G5" s="281" t="str">
        <f>'Histórico Ebitda LTM'!G4</f>
        <v>1T19</v>
      </c>
      <c r="H5" s="281" t="str">
        <f>'Histórico Ebitda LTM'!H4</f>
        <v>2T19</v>
      </c>
      <c r="I5" s="281" t="str">
        <f>'Histórico Ebitda LTM'!I4</f>
        <v>3T19</v>
      </c>
      <c r="J5" s="281" t="str">
        <f>'Histórico Ebitda LTM'!J4</f>
        <v>4T19</v>
      </c>
      <c r="K5" s="281" t="str">
        <f>'Histórico Ebitda LTM'!K4</f>
        <v>1T20</v>
      </c>
      <c r="L5" s="281" t="str">
        <f>'Histórico Ebitda LTM'!L4</f>
        <v>2T20</v>
      </c>
      <c r="M5" s="281" t="str">
        <f>'Histórico Ebitda LTM'!M4</f>
        <v>3T20</v>
      </c>
      <c r="N5" s="281" t="str">
        <f>'Histórico Ebitda LTM'!N4</f>
        <v>4T20</v>
      </c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</row>
    <row r="6" spans="1:36">
      <c r="B6" s="134" t="s">
        <v>11</v>
      </c>
      <c r="C6" s="158" t="s">
        <v>340</v>
      </c>
      <c r="D6" s="158" t="s">
        <v>340</v>
      </c>
      <c r="E6" s="158" t="s">
        <v>340</v>
      </c>
      <c r="F6" s="158" t="s">
        <v>340</v>
      </c>
      <c r="G6" s="158" t="s">
        <v>340</v>
      </c>
      <c r="H6" s="158" t="s">
        <v>340</v>
      </c>
      <c r="I6" s="158" t="s">
        <v>340</v>
      </c>
      <c r="J6" s="158" t="s">
        <v>340</v>
      </c>
      <c r="K6" s="158" t="s">
        <v>340</v>
      </c>
      <c r="L6" s="158" t="s">
        <v>340</v>
      </c>
      <c r="M6" s="158" t="s">
        <v>340</v>
      </c>
      <c r="N6" s="158" t="s">
        <v>340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 t="shared" ref="AE6:AJ6" si="0">AD12</f>
        <v>191351</v>
      </c>
      <c r="AF6" s="135">
        <f t="shared" si="0"/>
        <v>207429</v>
      </c>
      <c r="AG6" s="135">
        <f t="shared" si="0"/>
        <v>199991</v>
      </c>
      <c r="AH6" s="135">
        <f t="shared" si="0"/>
        <v>194838</v>
      </c>
      <c r="AI6" s="135">
        <f t="shared" si="0"/>
        <v>187378</v>
      </c>
      <c r="AJ6" s="135">
        <f t="shared" si="0"/>
        <v>207330</v>
      </c>
    </row>
    <row r="7" spans="1:36">
      <c r="B7" s="113" t="s">
        <v>9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159" t="s">
        <v>340</v>
      </c>
      <c r="L7" s="159" t="s">
        <v>340</v>
      </c>
      <c r="M7" s="159" t="s">
        <v>340</v>
      </c>
      <c r="N7" s="159" t="s">
        <v>340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  <c r="AG7" s="136">
        <v>-13165</v>
      </c>
      <c r="AH7" s="136">
        <v>0</v>
      </c>
      <c r="AI7" s="379">
        <v>-22085</v>
      </c>
      <c r="AJ7" s="379">
        <v>0</v>
      </c>
    </row>
    <row r="8" spans="1:36">
      <c r="B8" s="113" t="s">
        <v>10</v>
      </c>
      <c r="C8" s="159" t="s">
        <v>340</v>
      </c>
      <c r="D8" s="159" t="s">
        <v>340</v>
      </c>
      <c r="E8" s="159" t="s">
        <v>340</v>
      </c>
      <c r="F8" s="159" t="s">
        <v>340</v>
      </c>
      <c r="G8" s="159" t="s">
        <v>340</v>
      </c>
      <c r="H8" s="159" t="s">
        <v>340</v>
      </c>
      <c r="I8" s="159" t="s">
        <v>340</v>
      </c>
      <c r="J8" s="159" t="s">
        <v>340</v>
      </c>
      <c r="K8" s="159" t="s">
        <v>340</v>
      </c>
      <c r="L8" s="159" t="s">
        <v>340</v>
      </c>
      <c r="M8" s="159" t="s">
        <v>340</v>
      </c>
      <c r="N8" s="159" t="s">
        <v>340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  <c r="AG8" s="136">
        <v>-25203</v>
      </c>
      <c r="AH8" s="136">
        <v>-7670</v>
      </c>
      <c r="AI8" s="379">
        <v>-23321</v>
      </c>
      <c r="AJ8" s="379">
        <v>-14613</v>
      </c>
    </row>
    <row r="9" spans="1:36">
      <c r="B9" s="137" t="s">
        <v>215</v>
      </c>
      <c r="C9" s="160" t="s">
        <v>340</v>
      </c>
      <c r="D9" s="160" t="s">
        <v>340</v>
      </c>
      <c r="E9" s="160" t="s">
        <v>340</v>
      </c>
      <c r="F9" s="160" t="s">
        <v>340</v>
      </c>
      <c r="G9" s="160" t="s">
        <v>340</v>
      </c>
      <c r="H9" s="160" t="s">
        <v>340</v>
      </c>
      <c r="I9" s="160" t="s">
        <v>340</v>
      </c>
      <c r="J9" s="160" t="s">
        <v>340</v>
      </c>
      <c r="K9" s="160" t="s">
        <v>340</v>
      </c>
      <c r="L9" s="160" t="s">
        <v>340</v>
      </c>
      <c r="M9" s="160" t="s">
        <v>340</v>
      </c>
      <c r="N9" s="160" t="s">
        <v>340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 t="shared" ref="AE9:AJ9" si="1">AE8/AE6</f>
        <v>-0.10836630067258599</v>
      </c>
      <c r="AF9" s="138">
        <f t="shared" si="1"/>
        <v>-4.5977177733103856E-2</v>
      </c>
      <c r="AG9" s="138">
        <f t="shared" si="1"/>
        <v>-0.12602067093019187</v>
      </c>
      <c r="AH9" s="138">
        <f t="shared" si="1"/>
        <v>-3.9366037425964132E-2</v>
      </c>
      <c r="AI9" s="138">
        <f t="shared" si="1"/>
        <v>-0.12445964841123291</v>
      </c>
      <c r="AJ9" s="138">
        <f t="shared" si="1"/>
        <v>-7.048184054406019E-2</v>
      </c>
    </row>
    <row r="10" spans="1:36">
      <c r="B10" s="113" t="s">
        <v>8</v>
      </c>
      <c r="C10" s="159" t="s">
        <v>340</v>
      </c>
      <c r="D10" s="159" t="s">
        <v>340</v>
      </c>
      <c r="E10" s="159" t="s">
        <v>340</v>
      </c>
      <c r="F10" s="159" t="s">
        <v>340</v>
      </c>
      <c r="G10" s="159" t="s">
        <v>340</v>
      </c>
      <c r="H10" s="159" t="s">
        <v>340</v>
      </c>
      <c r="I10" s="159" t="s">
        <v>340</v>
      </c>
      <c r="J10" s="159" t="s">
        <v>340</v>
      </c>
      <c r="K10" s="159" t="s">
        <v>340</v>
      </c>
      <c r="L10" s="159" t="s">
        <v>340</v>
      </c>
      <c r="M10" s="159" t="s">
        <v>340</v>
      </c>
      <c r="N10" s="159" t="s">
        <v>340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  <c r="AG10" s="139">
        <v>33215</v>
      </c>
      <c r="AH10" s="139">
        <v>210</v>
      </c>
      <c r="AI10" s="380">
        <v>65358</v>
      </c>
      <c r="AJ10" s="380">
        <v>865</v>
      </c>
    </row>
    <row r="11" spans="1:36">
      <c r="B11" s="113" t="s">
        <v>216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59" t="s">
        <v>340</v>
      </c>
      <c r="L11" s="159" t="s">
        <v>340</v>
      </c>
      <c r="M11" s="159" t="s">
        <v>340</v>
      </c>
      <c r="N11" s="159" t="s">
        <v>340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  <c r="AG11" s="139">
        <v>0</v>
      </c>
      <c r="AH11" s="139">
        <v>0</v>
      </c>
      <c r="AI11" s="139">
        <v>0</v>
      </c>
      <c r="AJ11" s="139">
        <v>0</v>
      </c>
    </row>
    <row r="12" spans="1:36">
      <c r="B12" s="99" t="s">
        <v>12</v>
      </c>
      <c r="C12" s="161" t="s">
        <v>340</v>
      </c>
      <c r="D12" s="161" t="s">
        <v>340</v>
      </c>
      <c r="E12" s="161" t="s">
        <v>340</v>
      </c>
      <c r="F12" s="161" t="s">
        <v>340</v>
      </c>
      <c r="G12" s="161" t="s">
        <v>340</v>
      </c>
      <c r="H12" s="161" t="s">
        <v>340</v>
      </c>
      <c r="I12" s="161" t="s">
        <v>340</v>
      </c>
      <c r="J12" s="161" t="s">
        <v>340</v>
      </c>
      <c r="K12" s="161" t="s">
        <v>340</v>
      </c>
      <c r="L12" s="161" t="s">
        <v>340</v>
      </c>
      <c r="M12" s="161" t="s">
        <v>340</v>
      </c>
      <c r="N12" s="161" t="s">
        <v>340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 t="shared" ref="AE12:AJ12" si="2">SUM(AE6:AE8,AE10:AE11)</f>
        <v>207429</v>
      </c>
      <c r="AF12" s="140">
        <f t="shared" si="2"/>
        <v>199991</v>
      </c>
      <c r="AG12" s="140">
        <f t="shared" si="2"/>
        <v>194838</v>
      </c>
      <c r="AH12" s="140">
        <f t="shared" si="2"/>
        <v>187378</v>
      </c>
      <c r="AI12" s="140">
        <f t="shared" si="2"/>
        <v>207330</v>
      </c>
      <c r="AJ12" s="140">
        <f t="shared" si="2"/>
        <v>193582</v>
      </c>
    </row>
    <row r="13" spans="1:36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</row>
    <row r="14" spans="1:36">
      <c r="B14" s="142" t="s">
        <v>252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</row>
    <row r="15" spans="1:36">
      <c r="B15" s="134" t="s">
        <v>11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58" t="s">
        <v>340</v>
      </c>
      <c r="L15" s="158" t="s">
        <v>340</v>
      </c>
      <c r="M15" s="158" t="s">
        <v>340</v>
      </c>
      <c r="N15" s="158" t="s">
        <v>340</v>
      </c>
      <c r="O15" s="158" t="s">
        <v>340</v>
      </c>
      <c r="P15" s="158" t="s">
        <v>340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 t="shared" ref="AE15:AJ15" si="3">AD21</f>
        <v>121879</v>
      </c>
      <c r="AF15" s="135">
        <f t="shared" si="3"/>
        <v>114564</v>
      </c>
      <c r="AG15" s="135">
        <f t="shared" si="3"/>
        <v>120681</v>
      </c>
      <c r="AH15" s="135">
        <f t="shared" si="3"/>
        <v>105349</v>
      </c>
      <c r="AI15" s="135">
        <f t="shared" si="3"/>
        <v>111181</v>
      </c>
      <c r="AJ15" s="135">
        <f t="shared" si="3"/>
        <v>93428</v>
      </c>
    </row>
    <row r="16" spans="1:36">
      <c r="B16" s="113" t="s">
        <v>9</v>
      </c>
      <c r="C16" s="159" t="s">
        <v>340</v>
      </c>
      <c r="D16" s="159" t="s">
        <v>340</v>
      </c>
      <c r="E16" s="159" t="s">
        <v>340</v>
      </c>
      <c r="F16" s="159" t="s">
        <v>340</v>
      </c>
      <c r="G16" s="159" t="s">
        <v>340</v>
      </c>
      <c r="H16" s="159" t="s">
        <v>340</v>
      </c>
      <c r="I16" s="159" t="s">
        <v>340</v>
      </c>
      <c r="J16" s="159" t="s">
        <v>340</v>
      </c>
      <c r="K16" s="159" t="s">
        <v>340</v>
      </c>
      <c r="L16" s="159" t="s">
        <v>340</v>
      </c>
      <c r="M16" s="159" t="s">
        <v>340</v>
      </c>
      <c r="N16" s="159" t="s">
        <v>340</v>
      </c>
      <c r="O16" s="159" t="s">
        <v>340</v>
      </c>
      <c r="P16" s="159" t="s">
        <v>340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  <c r="AG16" s="136">
        <v>-10399</v>
      </c>
      <c r="AH16" s="136">
        <v>0</v>
      </c>
      <c r="AI16" s="136">
        <v>-9073</v>
      </c>
      <c r="AJ16" s="136">
        <v>0</v>
      </c>
    </row>
    <row r="17" spans="2:36">
      <c r="B17" s="113" t="s">
        <v>10</v>
      </c>
      <c r="C17" s="159" t="s">
        <v>340</v>
      </c>
      <c r="D17" s="159" t="s">
        <v>340</v>
      </c>
      <c r="E17" s="159" t="s">
        <v>340</v>
      </c>
      <c r="F17" s="159" t="s">
        <v>340</v>
      </c>
      <c r="G17" s="159" t="s">
        <v>340</v>
      </c>
      <c r="H17" s="159" t="s">
        <v>340</v>
      </c>
      <c r="I17" s="159" t="s">
        <v>340</v>
      </c>
      <c r="J17" s="159" t="s">
        <v>340</v>
      </c>
      <c r="K17" s="159" t="s">
        <v>340</v>
      </c>
      <c r="L17" s="159" t="s">
        <v>340</v>
      </c>
      <c r="M17" s="159" t="s">
        <v>340</v>
      </c>
      <c r="N17" s="159" t="s">
        <v>340</v>
      </c>
      <c r="O17" s="159" t="s">
        <v>340</v>
      </c>
      <c r="P17" s="159" t="s">
        <v>340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  <c r="AG17" s="136">
        <v>-26501</v>
      </c>
      <c r="AH17" s="136">
        <v>-2555</v>
      </c>
      <c r="AI17" s="136">
        <v>-27145</v>
      </c>
      <c r="AJ17" s="136">
        <v>-1525</v>
      </c>
    </row>
    <row r="18" spans="2:36">
      <c r="B18" s="137" t="s">
        <v>215</v>
      </c>
      <c r="C18" s="160" t="s">
        <v>340</v>
      </c>
      <c r="D18" s="160" t="s">
        <v>340</v>
      </c>
      <c r="E18" s="160" t="s">
        <v>340</v>
      </c>
      <c r="F18" s="160" t="s">
        <v>340</v>
      </c>
      <c r="G18" s="160" t="s">
        <v>340</v>
      </c>
      <c r="H18" s="160" t="s">
        <v>340</v>
      </c>
      <c r="I18" s="160" t="s">
        <v>340</v>
      </c>
      <c r="J18" s="160" t="s">
        <v>340</v>
      </c>
      <c r="K18" s="160" t="s">
        <v>340</v>
      </c>
      <c r="L18" s="160" t="s">
        <v>340</v>
      </c>
      <c r="M18" s="160" t="s">
        <v>340</v>
      </c>
      <c r="N18" s="160" t="s">
        <v>340</v>
      </c>
      <c r="O18" s="160" t="s">
        <v>340</v>
      </c>
      <c r="P18" s="160" t="s">
        <v>340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 t="shared" ref="AE18:AJ18" si="4">AE17/AE15</f>
        <v>-0.24397147991040294</v>
      </c>
      <c r="AF18" s="138">
        <f t="shared" si="4"/>
        <v>-4.4219824726790265E-2</v>
      </c>
      <c r="AG18" s="138">
        <f t="shared" si="4"/>
        <v>-0.21959546241744765</v>
      </c>
      <c r="AH18" s="138">
        <f t="shared" si="4"/>
        <v>-2.425272190528624E-2</v>
      </c>
      <c r="AI18" s="138">
        <f t="shared" si="4"/>
        <v>-0.24415142875131543</v>
      </c>
      <c r="AJ18" s="138">
        <f t="shared" si="4"/>
        <v>-1.6322729802628763E-2</v>
      </c>
    </row>
    <row r="19" spans="2:36">
      <c r="B19" s="113" t="s">
        <v>8</v>
      </c>
      <c r="C19" s="159" t="s">
        <v>340</v>
      </c>
      <c r="D19" s="159" t="s">
        <v>340</v>
      </c>
      <c r="E19" s="159" t="s">
        <v>340</v>
      </c>
      <c r="F19" s="159" t="s">
        <v>340</v>
      </c>
      <c r="G19" s="159" t="s">
        <v>340</v>
      </c>
      <c r="H19" s="159" t="s">
        <v>340</v>
      </c>
      <c r="I19" s="159" t="s">
        <v>340</v>
      </c>
      <c r="J19" s="159" t="s">
        <v>340</v>
      </c>
      <c r="K19" s="159" t="s">
        <v>340</v>
      </c>
      <c r="L19" s="159" t="s">
        <v>340</v>
      </c>
      <c r="M19" s="159" t="s">
        <v>340</v>
      </c>
      <c r="N19" s="159" t="s">
        <v>340</v>
      </c>
      <c r="O19" s="159" t="s">
        <v>340</v>
      </c>
      <c r="P19" s="159" t="s">
        <v>340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  <c r="AG19" s="139">
        <v>21568</v>
      </c>
      <c r="AH19" s="139">
        <v>8387</v>
      </c>
      <c r="AI19" s="139">
        <v>18465</v>
      </c>
      <c r="AJ19" s="139">
        <v>4292</v>
      </c>
    </row>
    <row r="20" spans="2:36">
      <c r="B20" s="113" t="s">
        <v>216</v>
      </c>
      <c r="C20" s="159" t="s">
        <v>340</v>
      </c>
      <c r="D20" s="159" t="s">
        <v>340</v>
      </c>
      <c r="E20" s="159" t="s">
        <v>340</v>
      </c>
      <c r="F20" s="159" t="s">
        <v>340</v>
      </c>
      <c r="G20" s="159" t="s">
        <v>340</v>
      </c>
      <c r="H20" s="159" t="s">
        <v>340</v>
      </c>
      <c r="I20" s="159" t="s">
        <v>340</v>
      </c>
      <c r="J20" s="159" t="s">
        <v>340</v>
      </c>
      <c r="K20" s="159" t="s">
        <v>340</v>
      </c>
      <c r="L20" s="159" t="s">
        <v>340</v>
      </c>
      <c r="M20" s="159" t="s">
        <v>340</v>
      </c>
      <c r="N20" s="159" t="s">
        <v>340</v>
      </c>
      <c r="O20" s="159" t="s">
        <v>340</v>
      </c>
      <c r="P20" s="159" t="s">
        <v>340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  <c r="AG20" s="139">
        <v>0</v>
      </c>
      <c r="AH20" s="139">
        <v>0</v>
      </c>
      <c r="AI20" s="139">
        <v>0</v>
      </c>
      <c r="AJ20" s="139">
        <v>0</v>
      </c>
    </row>
    <row r="21" spans="2:36">
      <c r="B21" s="99" t="s">
        <v>12</v>
      </c>
      <c r="C21" s="161" t="s">
        <v>340</v>
      </c>
      <c r="D21" s="161" t="s">
        <v>340</v>
      </c>
      <c r="E21" s="161" t="s">
        <v>340</v>
      </c>
      <c r="F21" s="161" t="s">
        <v>340</v>
      </c>
      <c r="G21" s="161" t="s">
        <v>340</v>
      </c>
      <c r="H21" s="161" t="s">
        <v>340</v>
      </c>
      <c r="I21" s="161" t="s">
        <v>340</v>
      </c>
      <c r="J21" s="161" t="s">
        <v>340</v>
      </c>
      <c r="K21" s="161" t="s">
        <v>340</v>
      </c>
      <c r="L21" s="161" t="s">
        <v>340</v>
      </c>
      <c r="M21" s="161" t="s">
        <v>340</v>
      </c>
      <c r="N21" s="161" t="s">
        <v>340</v>
      </c>
      <c r="O21" s="161" t="s">
        <v>340</v>
      </c>
      <c r="P21" s="161" t="s">
        <v>340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 t="shared" ref="AE21:AJ21" si="5">SUM(AE15:AE17,AE19:AE20)</f>
        <v>114564</v>
      </c>
      <c r="AF21" s="140">
        <f t="shared" si="5"/>
        <v>120681</v>
      </c>
      <c r="AG21" s="140">
        <f t="shared" si="5"/>
        <v>105349</v>
      </c>
      <c r="AH21" s="140">
        <f t="shared" si="5"/>
        <v>111181</v>
      </c>
      <c r="AI21" s="140">
        <f t="shared" si="5"/>
        <v>93428</v>
      </c>
      <c r="AJ21" s="140">
        <f t="shared" si="5"/>
        <v>96195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K77"/>
  <sheetViews>
    <sheetView showGridLines="0" zoomScale="85" zoomScaleNormal="85" workbookViewId="0">
      <pane xSplit="2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J2" sqref="AJ2"/>
    </sheetView>
  </sheetViews>
  <sheetFormatPr defaultColWidth="10.7109375" defaultRowHeight="15" outlineLevelCol="1"/>
  <cols>
    <col min="1" max="1" width="1.7109375" customWidth="1"/>
    <col min="2" max="2" width="62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6" ht="18.75">
      <c r="B1" s="332" t="s">
        <v>381</v>
      </c>
    </row>
    <row r="2" spans="1:36">
      <c r="B2" s="280" t="s">
        <v>379</v>
      </c>
    </row>
    <row r="3" spans="1:36">
      <c r="A3" s="280"/>
    </row>
    <row r="4" spans="1:36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238</v>
      </c>
      <c r="Q4" s="177" t="s">
        <v>244</v>
      </c>
      <c r="R4" s="177" t="s">
        <v>245</v>
      </c>
      <c r="S4" s="177" t="s">
        <v>247</v>
      </c>
      <c r="T4" s="177" t="s">
        <v>250</v>
      </c>
      <c r="U4" s="177" t="s">
        <v>257</v>
      </c>
      <c r="V4" s="177" t="s">
        <v>260</v>
      </c>
      <c r="W4" s="177" t="s">
        <v>270</v>
      </c>
      <c r="X4" s="177" t="s">
        <v>275</v>
      </c>
      <c r="Y4" s="177" t="s">
        <v>282</v>
      </c>
      <c r="Z4" s="177" t="s">
        <v>287</v>
      </c>
      <c r="AA4" s="177" t="s">
        <v>289</v>
      </c>
      <c r="AB4" s="177" t="s">
        <v>293</v>
      </c>
      <c r="AC4" s="177" t="s">
        <v>311</v>
      </c>
      <c r="AD4" s="177" t="s">
        <v>385</v>
      </c>
      <c r="AE4" s="177" t="s">
        <v>386</v>
      </c>
      <c r="AF4" s="177" t="s">
        <v>387</v>
      </c>
      <c r="AG4" s="177" t="s">
        <v>389</v>
      </c>
      <c r="AH4" s="177" t="s">
        <v>390</v>
      </c>
      <c r="AI4" s="177" t="s">
        <v>391</v>
      </c>
      <c r="AJ4" s="177" t="s">
        <v>392</v>
      </c>
    </row>
    <row r="5" spans="1:36">
      <c r="A5" s="1"/>
      <c r="B5" s="252" t="s">
        <v>47</v>
      </c>
      <c r="C5" s="253">
        <v>432.86100424000006</v>
      </c>
      <c r="D5" s="253">
        <v>542.01114539000002</v>
      </c>
      <c r="E5" s="253">
        <v>498.98367299</v>
      </c>
      <c r="F5" s="253">
        <v>408.19357478000001</v>
      </c>
      <c r="G5" s="253">
        <v>389.25847838999994</v>
      </c>
      <c r="H5" s="253">
        <v>360.947</v>
      </c>
      <c r="I5" s="253">
        <v>369.73110525999999</v>
      </c>
      <c r="J5" s="253">
        <v>455.92087795999998</v>
      </c>
      <c r="K5" s="253">
        <v>1281.0629999999999</v>
      </c>
      <c r="L5" s="253">
        <v>1312.3782741499997</v>
      </c>
      <c r="M5" s="253">
        <v>1309.3986046100001</v>
      </c>
      <c r="N5" s="253">
        <v>2106.41353738</v>
      </c>
      <c r="O5" s="253">
        <f t="shared" ref="O5:AB5" si="0">SUM(O6:O17)</f>
        <v>1860.921</v>
      </c>
      <c r="P5" s="253">
        <f t="shared" si="0"/>
        <v>1618.4989999999998</v>
      </c>
      <c r="Q5" s="253">
        <f t="shared" si="0"/>
        <v>1615.1569999999999</v>
      </c>
      <c r="R5" s="253">
        <f t="shared" si="0"/>
        <v>1311.9289999999999</v>
      </c>
      <c r="S5" s="253">
        <f t="shared" si="0"/>
        <v>2245.9639999999999</v>
      </c>
      <c r="T5" s="253">
        <f t="shared" si="0"/>
        <v>2117.3329999999996</v>
      </c>
      <c r="U5" s="253">
        <f t="shared" si="0"/>
        <v>2067.6898618199998</v>
      </c>
      <c r="V5" s="253">
        <f t="shared" si="0"/>
        <v>2379.58911558</v>
      </c>
      <c r="W5" s="253">
        <f t="shared" si="0"/>
        <v>2290.7450000000003</v>
      </c>
      <c r="X5" s="253">
        <f t="shared" si="0"/>
        <v>1937.6780000000001</v>
      </c>
      <c r="Y5" s="253">
        <f t="shared" si="0"/>
        <v>1906.9740000000004</v>
      </c>
      <c r="Z5" s="253">
        <f t="shared" si="0"/>
        <v>1770.4839999999999</v>
      </c>
      <c r="AA5" s="253">
        <f t="shared" si="0"/>
        <v>1507.4100000000003</v>
      </c>
      <c r="AB5" s="253">
        <f t="shared" si="0"/>
        <v>2140.2559999999999</v>
      </c>
      <c r="AC5" s="253">
        <f>SUM(AC6:AC17)</f>
        <v>2388.2480000000005</v>
      </c>
      <c r="AD5" s="253">
        <v>2084.6530968700031</v>
      </c>
      <c r="AE5" s="253">
        <v>2324.2689803900039</v>
      </c>
      <c r="AF5" s="253">
        <f>SUM(AF6:AF17)</f>
        <v>2358.3489894200034</v>
      </c>
      <c r="AG5" s="253">
        <f>SUM(AG6:AG17)</f>
        <v>2547.8889999999997</v>
      </c>
      <c r="AH5" s="253">
        <f>SUM(AH6:AH17)</f>
        <v>2588.2529999999992</v>
      </c>
      <c r="AI5" s="253">
        <f>SUM(AI6:AI17)</f>
        <v>2713.585</v>
      </c>
      <c r="AJ5" s="253">
        <f>SUM(AJ6:AJ17)</f>
        <v>2749.7429999999999</v>
      </c>
    </row>
    <row r="6" spans="1:36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  <c r="AG6" s="178">
        <v>112.989</v>
      </c>
      <c r="AH6" s="178">
        <v>220.00700000000001</v>
      </c>
      <c r="AI6" s="178">
        <v>105.086</v>
      </c>
      <c r="AJ6" s="178">
        <v>105.30500000000001</v>
      </c>
    </row>
    <row r="7" spans="1:36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  <c r="AG7" s="178">
        <v>1563.4739999999999</v>
      </c>
      <c r="AH7" s="178">
        <v>1485.4079999999999</v>
      </c>
      <c r="AI7" s="178">
        <v>1627.078</v>
      </c>
      <c r="AJ7" s="178">
        <v>1671.6020000000001</v>
      </c>
    </row>
    <row r="8" spans="1:36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  <c r="AG8" s="178">
        <v>759.14300000000003</v>
      </c>
      <c r="AH8" s="178">
        <v>771.91</v>
      </c>
      <c r="AI8" s="178">
        <v>850.649</v>
      </c>
      <c r="AJ8" s="178">
        <v>821.87300000000005</v>
      </c>
    </row>
    <row r="9" spans="1:36">
      <c r="A9" s="1"/>
      <c r="B9" s="95" t="s">
        <v>271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  <c r="AG9" s="178">
        <v>0.441</v>
      </c>
      <c r="AH9" s="178">
        <v>0.441</v>
      </c>
      <c r="AI9" s="178">
        <v>0.441</v>
      </c>
      <c r="AJ9" s="178">
        <v>0.441</v>
      </c>
    </row>
    <row r="10" spans="1:36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  <c r="AG10" s="178">
        <v>0</v>
      </c>
      <c r="AH10" s="178">
        <v>0</v>
      </c>
      <c r="AI10" s="178">
        <v>0</v>
      </c>
      <c r="AJ10" s="178">
        <v>0</v>
      </c>
    </row>
    <row r="11" spans="1:36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  <c r="AG11" s="178">
        <v>52.84</v>
      </c>
      <c r="AH11" s="178">
        <v>64.372</v>
      </c>
      <c r="AI11" s="178">
        <v>58.329000000000001</v>
      </c>
      <c r="AJ11" s="178">
        <v>77.844999999999999</v>
      </c>
    </row>
    <row r="12" spans="1:36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  <c r="AG12" s="178">
        <v>0</v>
      </c>
      <c r="AH12" s="178">
        <v>0</v>
      </c>
      <c r="AI12" s="178">
        <v>0</v>
      </c>
      <c r="AJ12" s="178">
        <v>0</v>
      </c>
    </row>
    <row r="13" spans="1:36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  <c r="AH13" s="178">
        <v>0</v>
      </c>
      <c r="AI13" s="178">
        <v>0</v>
      </c>
      <c r="AJ13" s="178">
        <v>0</v>
      </c>
    </row>
    <row r="14" spans="1:36">
      <c r="A14" s="1"/>
      <c r="B14" s="95" t="s">
        <v>272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  <c r="AH14" s="178">
        <v>0</v>
      </c>
      <c r="AI14" s="178">
        <v>0</v>
      </c>
      <c r="AJ14" s="178">
        <v>0</v>
      </c>
    </row>
    <row r="15" spans="1:36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  <c r="AG15" s="178">
        <v>59.002000000000002</v>
      </c>
      <c r="AH15" s="178">
        <v>46.115000000000002</v>
      </c>
      <c r="AI15" s="178">
        <v>72.001999999999995</v>
      </c>
      <c r="AJ15" s="178">
        <v>72.677000000000007</v>
      </c>
    </row>
    <row r="16" spans="1:36">
      <c r="A16" s="1"/>
      <c r="B16" s="95" t="s">
        <v>314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  <c r="AH16" s="178">
        <v>0</v>
      </c>
      <c r="AI16" s="178">
        <v>0</v>
      </c>
      <c r="AJ16" s="178">
        <v>0</v>
      </c>
    </row>
    <row r="17" spans="1:36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  <c r="AH17" s="178">
        <v>0</v>
      </c>
      <c r="AI17" s="178">
        <v>0</v>
      </c>
      <c r="AJ17" s="178">
        <v>0</v>
      </c>
    </row>
    <row r="18" spans="1:36">
      <c r="A18" s="1"/>
      <c r="B18" s="252" t="s">
        <v>61</v>
      </c>
      <c r="C18" s="253">
        <v>935.73099999999999</v>
      </c>
      <c r="D18" s="253">
        <v>949.61500000000001</v>
      </c>
      <c r="E18" s="253">
        <v>999.01199999999994</v>
      </c>
      <c r="F18" s="253">
        <v>1038.2759999999998</v>
      </c>
      <c r="G18" s="253">
        <v>1614.2860000000001</v>
      </c>
      <c r="H18" s="253">
        <v>1609.671</v>
      </c>
      <c r="I18" s="253">
        <v>1791.2199999999998</v>
      </c>
      <c r="J18" s="253">
        <v>1944.1000000000001</v>
      </c>
      <c r="K18" s="253">
        <v>2075.837</v>
      </c>
      <c r="L18" s="253">
        <v>2132.8860000000004</v>
      </c>
      <c r="M18" s="253">
        <v>2393.2029999999995</v>
      </c>
      <c r="N18" s="253">
        <v>2476.0249999999996</v>
      </c>
      <c r="O18" s="253">
        <f t="shared" ref="O18:AB18" si="1">SUM(O19:O34)</f>
        <v>3121.4830000000002</v>
      </c>
      <c r="P18" s="253">
        <f t="shared" si="1"/>
        <v>8573.7980000000007</v>
      </c>
      <c r="Q18" s="253">
        <f t="shared" si="1"/>
        <v>8701.857</v>
      </c>
      <c r="R18" s="253">
        <f t="shared" si="1"/>
        <v>8570.7489999999998</v>
      </c>
      <c r="S18" s="253">
        <f t="shared" si="1"/>
        <v>8572.5349999999999</v>
      </c>
      <c r="T18" s="253">
        <f t="shared" si="1"/>
        <v>8360.5</v>
      </c>
      <c r="U18" s="253">
        <f t="shared" si="1"/>
        <v>8351.7956882899998</v>
      </c>
      <c r="V18" s="253">
        <f t="shared" si="1"/>
        <v>8352.4079999999994</v>
      </c>
      <c r="W18" s="253">
        <f t="shared" si="1"/>
        <v>8281.255000000001</v>
      </c>
      <c r="X18" s="253">
        <f t="shared" si="1"/>
        <v>8118.3059999999996</v>
      </c>
      <c r="Y18" s="253">
        <f t="shared" si="1"/>
        <v>8014.4529999999995</v>
      </c>
      <c r="Z18" s="253">
        <f t="shared" si="1"/>
        <v>7884.9930000000004</v>
      </c>
      <c r="AA18" s="253">
        <f t="shared" si="1"/>
        <v>7727.6489999999994</v>
      </c>
      <c r="AB18" s="253">
        <f t="shared" si="1"/>
        <v>7634.625</v>
      </c>
      <c r="AC18" s="253">
        <f>SUM(AC19:AC34)</f>
        <v>7566.4</v>
      </c>
      <c r="AD18" s="253">
        <v>7604.2197653700005</v>
      </c>
      <c r="AE18" s="253">
        <v>7641.7302109599996</v>
      </c>
      <c r="AF18" s="253">
        <f>SUM(AF19:AF34)</f>
        <v>7641.6620845300004</v>
      </c>
      <c r="AG18" s="253">
        <f>SUM(AG19:AG34)</f>
        <v>7542.3879999999999</v>
      </c>
      <c r="AH18" s="253">
        <f>SUM(AH19:AH34)</f>
        <v>7585.4590000000007</v>
      </c>
      <c r="AI18" s="253">
        <f>SUM(AI19:AI34)</f>
        <v>7842.4220000000005</v>
      </c>
      <c r="AJ18" s="253">
        <f>SUM(AJ19:AJ34)</f>
        <v>7844.5709999999999</v>
      </c>
    </row>
    <row r="19" spans="1:36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  <c r="AH19" s="178">
        <v>0</v>
      </c>
      <c r="AI19" s="178">
        <v>25.728999999999999</v>
      </c>
      <c r="AJ19" s="178">
        <v>26.396000000000001</v>
      </c>
    </row>
    <row r="20" spans="1:36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  <c r="AG20" s="178">
        <v>141.012</v>
      </c>
      <c r="AH20" s="178">
        <v>115.59</v>
      </c>
      <c r="AI20" s="178">
        <v>164.28100000000001</v>
      </c>
      <c r="AJ20" s="178">
        <v>198.196</v>
      </c>
    </row>
    <row r="21" spans="1:36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  <c r="AH21" s="178">
        <v>0</v>
      </c>
      <c r="AI21" s="178">
        <v>0</v>
      </c>
      <c r="AJ21" s="178">
        <v>0</v>
      </c>
    </row>
    <row r="22" spans="1:36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  <c r="AG22" s="178">
        <v>147.59</v>
      </c>
      <c r="AH22" s="178">
        <v>143.631</v>
      </c>
      <c r="AI22" s="178">
        <v>145.06200000000001</v>
      </c>
      <c r="AJ22" s="178">
        <v>147.96199999999999</v>
      </c>
    </row>
    <row r="23" spans="1:36">
      <c r="A23" s="1"/>
      <c r="B23" s="95" t="s">
        <v>314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  <c r="AG23" s="178">
        <v>151.08600000000001</v>
      </c>
      <c r="AH23" s="178">
        <v>249.119</v>
      </c>
      <c r="AI23" s="178">
        <v>241.648</v>
      </c>
      <c r="AJ23" s="178">
        <v>248.78299999999999</v>
      </c>
    </row>
    <row r="24" spans="1:36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  <c r="AG24" s="178">
        <v>1.6240000000000001</v>
      </c>
      <c r="AH24" s="178">
        <v>1.6990000000000001</v>
      </c>
      <c r="AI24" s="178">
        <v>1.859</v>
      </c>
      <c r="AJ24" s="178">
        <v>4.6440000000000001</v>
      </c>
    </row>
    <row r="25" spans="1:36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  <c r="AG25" s="178">
        <v>29.029</v>
      </c>
      <c r="AH25" s="178">
        <v>31.763999999999999</v>
      </c>
      <c r="AI25" s="178">
        <v>31.628</v>
      </c>
      <c r="AJ25" s="178">
        <v>37.094000000000001</v>
      </c>
    </row>
    <row r="26" spans="1:36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  <c r="AH26" s="178">
        <v>0</v>
      </c>
      <c r="AI26" s="178">
        <v>0</v>
      </c>
      <c r="AJ26" s="178">
        <v>0</v>
      </c>
    </row>
    <row r="27" spans="1:36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  <c r="AH27" s="178">
        <v>0</v>
      </c>
      <c r="AI27" s="178">
        <v>0</v>
      </c>
      <c r="AJ27" s="178">
        <v>0</v>
      </c>
    </row>
    <row r="28" spans="1:36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  <c r="AH28" s="178">
        <v>0</v>
      </c>
      <c r="AI28" s="178">
        <v>0</v>
      </c>
      <c r="AJ28" s="178">
        <v>0</v>
      </c>
    </row>
    <row r="29" spans="1:36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  <c r="AH29" s="178">
        <v>0</v>
      </c>
      <c r="AI29" s="178">
        <v>0</v>
      </c>
      <c r="AJ29" s="178">
        <v>0</v>
      </c>
    </row>
    <row r="30" spans="1:36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  <c r="AG30" s="178">
        <v>9.3480000000000008</v>
      </c>
      <c r="AH30" s="178">
        <v>11.09</v>
      </c>
      <c r="AI30" s="178">
        <v>11.291</v>
      </c>
      <c r="AJ30" s="178">
        <v>12.891</v>
      </c>
    </row>
    <row r="31" spans="1:36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  <c r="AG31" s="178">
        <v>57.33</v>
      </c>
      <c r="AH31" s="178">
        <v>73.977999999999994</v>
      </c>
      <c r="AI31" s="178">
        <v>74.171000000000006</v>
      </c>
      <c r="AJ31" s="178">
        <v>74.244</v>
      </c>
    </row>
    <row r="32" spans="1:36">
      <c r="A32" s="1"/>
      <c r="B32" s="95" t="s">
        <v>313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  <c r="AG32" s="178">
        <v>972.08299999999997</v>
      </c>
      <c r="AH32" s="178">
        <v>933.39499999999998</v>
      </c>
      <c r="AI32" s="178">
        <v>1130.1559999999999</v>
      </c>
      <c r="AJ32" s="178">
        <v>1087.664</v>
      </c>
    </row>
    <row r="33" spans="1:37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  <c r="AG33" s="178">
        <v>507.28699999999998</v>
      </c>
      <c r="AH33" s="178">
        <v>501.24099999999999</v>
      </c>
      <c r="AI33" s="178">
        <v>502.38099999999997</v>
      </c>
      <c r="AJ33" s="178">
        <v>497.40100000000001</v>
      </c>
    </row>
    <row r="34" spans="1:37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  <c r="AG34" s="178">
        <v>5525.9989999999998</v>
      </c>
      <c r="AH34" s="178">
        <v>5523.9520000000002</v>
      </c>
      <c r="AI34" s="178">
        <v>5514.2160000000003</v>
      </c>
      <c r="AJ34" s="178">
        <v>5509.2960000000003</v>
      </c>
    </row>
    <row r="35" spans="1:37">
      <c r="A35" s="1"/>
      <c r="B35" s="254" t="s">
        <v>79</v>
      </c>
      <c r="C35" s="255">
        <v>1368.5919999999999</v>
      </c>
      <c r="D35" s="255">
        <v>1491.6261453900001</v>
      </c>
      <c r="E35" s="255">
        <v>1497.99567299</v>
      </c>
      <c r="F35" s="255">
        <v>1446.4695747799999</v>
      </c>
      <c r="G35" s="255">
        <v>2003.54447839</v>
      </c>
      <c r="H35" s="255">
        <v>1970.6179999999999</v>
      </c>
      <c r="I35" s="255">
        <v>2160.9511052599996</v>
      </c>
      <c r="J35" s="255">
        <v>2400.0208779600002</v>
      </c>
      <c r="K35" s="255">
        <v>3356.8999999999996</v>
      </c>
      <c r="L35" s="255">
        <v>3445.2636229550003</v>
      </c>
      <c r="M35" s="255">
        <v>3702.6016046099994</v>
      </c>
      <c r="N35" s="255">
        <v>4582.4385373799996</v>
      </c>
      <c r="O35" s="255">
        <f t="shared" ref="O35:AB35" si="2">SUM(O5,O18)</f>
        <v>4982.4040000000005</v>
      </c>
      <c r="P35" s="255">
        <f t="shared" si="2"/>
        <v>10192.297</v>
      </c>
      <c r="Q35" s="255">
        <f t="shared" si="2"/>
        <v>10317.013999999999</v>
      </c>
      <c r="R35" s="255">
        <f t="shared" si="2"/>
        <v>9882.6779999999999</v>
      </c>
      <c r="S35" s="255">
        <f t="shared" si="2"/>
        <v>10818.499</v>
      </c>
      <c r="T35" s="255">
        <f t="shared" si="2"/>
        <v>10477.832999999999</v>
      </c>
      <c r="U35" s="255">
        <f t="shared" si="2"/>
        <v>10419.485550109999</v>
      </c>
      <c r="V35" s="255">
        <f t="shared" si="2"/>
        <v>10731.997115579999</v>
      </c>
      <c r="W35" s="255">
        <f t="shared" si="2"/>
        <v>10572.000000000002</v>
      </c>
      <c r="X35" s="255">
        <f t="shared" si="2"/>
        <v>10055.984</v>
      </c>
      <c r="Y35" s="255">
        <f t="shared" si="2"/>
        <v>9921.4269999999997</v>
      </c>
      <c r="Z35" s="255">
        <f t="shared" si="2"/>
        <v>9655.4770000000008</v>
      </c>
      <c r="AA35" s="255">
        <f t="shared" si="2"/>
        <v>9235.0589999999993</v>
      </c>
      <c r="AB35" s="255">
        <f t="shared" si="2"/>
        <v>9774.8809999999994</v>
      </c>
      <c r="AC35" s="255">
        <f>SUM(AC5,AC18)</f>
        <v>9954.648000000001</v>
      </c>
      <c r="AD35" s="255">
        <v>9688.8728622400031</v>
      </c>
      <c r="AE35" s="255">
        <f t="shared" ref="AE35:AJ35" si="3">AE18+AE5</f>
        <v>9965.9991913500035</v>
      </c>
      <c r="AF35" s="255">
        <f t="shared" si="3"/>
        <v>10000.011073950003</v>
      </c>
      <c r="AG35" s="255">
        <f t="shared" si="3"/>
        <v>10090.277</v>
      </c>
      <c r="AH35" s="255">
        <f t="shared" si="3"/>
        <v>10173.712</v>
      </c>
      <c r="AI35" s="255">
        <f t="shared" si="3"/>
        <v>10556.007000000001</v>
      </c>
      <c r="AJ35" s="255">
        <f t="shared" si="3"/>
        <v>10594.314</v>
      </c>
    </row>
    <row r="36" spans="1:37"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  <c r="AG36" s="330"/>
      <c r="AH36" s="330"/>
      <c r="AI36" s="330"/>
      <c r="AJ36" s="330"/>
    </row>
    <row r="37" spans="1:37"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  <c r="AI37" s="287"/>
      <c r="AJ37" s="287"/>
    </row>
    <row r="38" spans="1:37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238</v>
      </c>
      <c r="Q38" s="177" t="s">
        <v>244</v>
      </c>
      <c r="R38" s="177" t="s">
        <v>245</v>
      </c>
      <c r="S38" s="177" t="s">
        <v>247</v>
      </c>
      <c r="T38" s="177" t="s">
        <v>250</v>
      </c>
      <c r="U38" s="177" t="s">
        <v>257</v>
      </c>
      <c r="V38" s="177" t="s">
        <v>260</v>
      </c>
      <c r="W38" s="177" t="s">
        <v>270</v>
      </c>
      <c r="X38" s="177" t="s">
        <v>275</v>
      </c>
      <c r="Y38" s="177" t="s">
        <v>282</v>
      </c>
      <c r="Z38" s="177" t="s">
        <v>287</v>
      </c>
      <c r="AA38" s="177" t="s">
        <v>289</v>
      </c>
      <c r="AB38" s="177" t="s">
        <v>293</v>
      </c>
      <c r="AC38" s="177" t="s">
        <v>311</v>
      </c>
      <c r="AD38" s="177" t="s">
        <v>385</v>
      </c>
      <c r="AE38" s="177" t="str">
        <f t="shared" ref="AE38:AJ38" si="4">AE4</f>
        <v>1T25</v>
      </c>
      <c r="AF38" s="177" t="str">
        <f t="shared" si="4"/>
        <v>2T25</v>
      </c>
      <c r="AG38" s="177" t="str">
        <f t="shared" si="4"/>
        <v>3T25</v>
      </c>
      <c r="AH38" s="177" t="str">
        <f t="shared" si="4"/>
        <v>4T25</v>
      </c>
      <c r="AI38" s="177" t="str">
        <f t="shared" si="4"/>
        <v>1T26</v>
      </c>
      <c r="AJ38" s="177" t="str">
        <f t="shared" si="4"/>
        <v>2T26</v>
      </c>
    </row>
    <row r="39" spans="1:37">
      <c r="B39" s="252" t="s">
        <v>48</v>
      </c>
      <c r="C39" s="282">
        <f>SUM(C40:C51)</f>
        <v>231.21300000000002</v>
      </c>
      <c r="D39" s="282">
        <f t="shared" ref="D39:AC39" si="5">SUM(D40:D51)</f>
        <v>221.81599999999995</v>
      </c>
      <c r="E39" s="282">
        <f t="shared" si="5"/>
        <v>265.53500000000003</v>
      </c>
      <c r="F39" s="282">
        <f t="shared" si="5"/>
        <v>231.58600000000001</v>
      </c>
      <c r="G39" s="282">
        <f t="shared" si="5"/>
        <v>251.18735825000005</v>
      </c>
      <c r="H39" s="282">
        <f t="shared" si="5"/>
        <v>258.78261815999997</v>
      </c>
      <c r="I39" s="282">
        <f t="shared" si="5"/>
        <v>470.65624115999998</v>
      </c>
      <c r="J39" s="282">
        <f t="shared" si="5"/>
        <v>339.92500000000001</v>
      </c>
      <c r="K39" s="282">
        <f t="shared" si="5"/>
        <v>336.18700000000001</v>
      </c>
      <c r="L39" s="282">
        <f t="shared" si="5"/>
        <v>381.58299999999997</v>
      </c>
      <c r="M39" s="282">
        <f t="shared" si="5"/>
        <v>442.66900000000004</v>
      </c>
      <c r="N39" s="282">
        <f t="shared" si="5"/>
        <v>441.04700000000003</v>
      </c>
      <c r="O39" s="282">
        <f t="shared" si="5"/>
        <v>495.524</v>
      </c>
      <c r="P39" s="282">
        <f t="shared" si="5"/>
        <v>1536.6370000000002</v>
      </c>
      <c r="Q39" s="282">
        <f t="shared" si="5"/>
        <v>1235.2860000000001</v>
      </c>
      <c r="R39" s="282">
        <f t="shared" si="5"/>
        <v>1235.1179999999997</v>
      </c>
      <c r="S39" s="282">
        <f t="shared" si="5"/>
        <v>1323.1390000000001</v>
      </c>
      <c r="T39" s="282">
        <f t="shared" si="5"/>
        <v>1793.0239999999999</v>
      </c>
      <c r="U39" s="282">
        <f t="shared" si="5"/>
        <v>1865.5638618200001</v>
      </c>
      <c r="V39" s="282">
        <f t="shared" si="5"/>
        <v>1821.4421155800001</v>
      </c>
      <c r="W39" s="282">
        <f t="shared" si="5"/>
        <v>2335.0769999999993</v>
      </c>
      <c r="X39" s="282">
        <f t="shared" si="5"/>
        <v>1806.5709999999999</v>
      </c>
      <c r="Y39" s="282">
        <f t="shared" si="5"/>
        <v>1732.136</v>
      </c>
      <c r="Z39" s="282">
        <f t="shared" si="5"/>
        <v>1692.1770000000004</v>
      </c>
      <c r="AA39" s="282">
        <f t="shared" si="5"/>
        <v>1724.9189999999999</v>
      </c>
      <c r="AB39" s="282">
        <f t="shared" si="5"/>
        <v>1267.5410000000002</v>
      </c>
      <c r="AC39" s="282">
        <f t="shared" si="5"/>
        <v>1359.8369999999998</v>
      </c>
      <c r="AD39" s="282">
        <v>962.89244550999979</v>
      </c>
      <c r="AE39" s="282">
        <v>1127.6254291599998</v>
      </c>
      <c r="AF39" s="282">
        <f>SUM(AF40:AF51)</f>
        <v>1060.56089363</v>
      </c>
      <c r="AG39" s="282">
        <f>SUM(AG40:AG51)</f>
        <v>1328.4570000000001</v>
      </c>
      <c r="AH39" s="282">
        <f>SUM(AH40:AH51)</f>
        <v>1164.1410000000001</v>
      </c>
      <c r="AI39" s="282">
        <f>SUM(AI40:AI51)</f>
        <v>1427.3530000000001</v>
      </c>
      <c r="AJ39" s="282">
        <f>SUM(AJ40:AJ51)</f>
        <v>1839.9970000000001</v>
      </c>
    </row>
    <row r="40" spans="1:37">
      <c r="B40" s="95" t="s">
        <v>50</v>
      </c>
      <c r="C40" s="283">
        <v>34.033999999999999</v>
      </c>
      <c r="D40" s="283">
        <v>28.306000000000001</v>
      </c>
      <c r="E40" s="283">
        <v>28.242000000000001</v>
      </c>
      <c r="F40" s="283">
        <v>30.99</v>
      </c>
      <c r="G40" s="283">
        <v>27.085999999999999</v>
      </c>
      <c r="H40" s="283">
        <v>28.925000000000001</v>
      </c>
      <c r="I40" s="283">
        <v>31.893999999999998</v>
      </c>
      <c r="J40" s="283">
        <v>31.983000000000001</v>
      </c>
      <c r="K40" s="283">
        <v>41.954999999999998</v>
      </c>
      <c r="L40" s="283">
        <v>44.381999999999998</v>
      </c>
      <c r="M40" s="283">
        <v>43.08</v>
      </c>
      <c r="N40" s="283">
        <v>48.83</v>
      </c>
      <c r="O40" s="283">
        <v>46.082000000000001</v>
      </c>
      <c r="P40" s="283">
        <v>137.39400000000001</v>
      </c>
      <c r="Q40" s="283">
        <v>141.535</v>
      </c>
      <c r="R40" s="283">
        <v>185.50800000000001</v>
      </c>
      <c r="S40" s="283">
        <v>196.41300000000001</v>
      </c>
      <c r="T40" s="283">
        <v>158.86199999999999</v>
      </c>
      <c r="U40" s="283">
        <v>188.12752264</v>
      </c>
      <c r="V40" s="283">
        <v>209.81299999999999</v>
      </c>
      <c r="W40" s="283">
        <v>217.26900000000001</v>
      </c>
      <c r="X40" s="283">
        <v>207.91</v>
      </c>
      <c r="Y40" s="283">
        <v>222.827</v>
      </c>
      <c r="Z40" s="283">
        <v>176.69200000000001</v>
      </c>
      <c r="AA40" s="283">
        <v>221.56700000000001</v>
      </c>
      <c r="AB40" s="283">
        <v>202.655</v>
      </c>
      <c r="AC40" s="283">
        <v>195.98099999999999</v>
      </c>
      <c r="AD40" s="283">
        <v>210.39602862000001</v>
      </c>
      <c r="AE40" s="283">
        <v>237.58895733999989</v>
      </c>
      <c r="AF40" s="283">
        <v>203.4142407300001</v>
      </c>
      <c r="AG40" s="283">
        <v>218.292</v>
      </c>
      <c r="AH40" s="283">
        <v>199.31899999999999</v>
      </c>
      <c r="AI40" s="283">
        <v>239.489</v>
      </c>
      <c r="AJ40" s="283">
        <v>207.804</v>
      </c>
    </row>
    <row r="41" spans="1:37">
      <c r="B41" s="95" t="s">
        <v>261</v>
      </c>
      <c r="C41" s="283">
        <v>0</v>
      </c>
      <c r="D41" s="283">
        <v>0</v>
      </c>
      <c r="E41" s="283">
        <v>0</v>
      </c>
      <c r="F41" s="283">
        <v>0</v>
      </c>
      <c r="G41" s="283">
        <v>0</v>
      </c>
      <c r="H41" s="283">
        <v>0</v>
      </c>
      <c r="I41" s="283">
        <v>0</v>
      </c>
      <c r="J41" s="283">
        <v>0</v>
      </c>
      <c r="K41" s="283">
        <v>0</v>
      </c>
      <c r="L41" s="283">
        <v>0</v>
      </c>
      <c r="M41" s="283">
        <v>0</v>
      </c>
      <c r="N41" s="283">
        <v>0</v>
      </c>
      <c r="O41" s="283">
        <v>0</v>
      </c>
      <c r="P41" s="283">
        <v>0</v>
      </c>
      <c r="Q41" s="283">
        <v>0</v>
      </c>
      <c r="R41" s="283">
        <v>0.69899999999999995</v>
      </c>
      <c r="S41" s="283">
        <v>0</v>
      </c>
      <c r="T41" s="283">
        <v>0</v>
      </c>
      <c r="U41" s="283">
        <v>0</v>
      </c>
      <c r="V41" s="283">
        <v>0.16710859000001801</v>
      </c>
      <c r="W41" s="283">
        <v>0.16600000000000001</v>
      </c>
      <c r="X41" s="283">
        <v>0.16500000000000001</v>
      </c>
      <c r="Y41" s="283">
        <v>0.63700000000000001</v>
      </c>
      <c r="Z41" s="283">
        <v>0.16800000000000001</v>
      </c>
      <c r="AA41" s="283">
        <v>0.16800000000000001</v>
      </c>
      <c r="AB41" s="283">
        <v>0.16800000000000001</v>
      </c>
      <c r="AC41" s="283">
        <v>0.16800000000000001</v>
      </c>
      <c r="AD41" s="283">
        <v>0.16773929000001422</v>
      </c>
      <c r="AE41" s="283">
        <v>0.16773928999999935</v>
      </c>
      <c r="AF41" s="283">
        <v>1.1978711578208844E-14</v>
      </c>
      <c r="AG41" s="283">
        <v>0</v>
      </c>
      <c r="AH41" s="283">
        <v>0</v>
      </c>
      <c r="AI41" s="283">
        <v>0</v>
      </c>
      <c r="AJ41" s="283">
        <v>0</v>
      </c>
    </row>
    <row r="42" spans="1:37">
      <c r="B42" s="95" t="s">
        <v>315</v>
      </c>
      <c r="C42" s="283">
        <v>56.856000000000002</v>
      </c>
      <c r="D42" s="283">
        <v>63.058999999999997</v>
      </c>
      <c r="E42" s="283">
        <v>75.805999999999997</v>
      </c>
      <c r="F42" s="283">
        <v>80.539000000000001</v>
      </c>
      <c r="G42" s="283">
        <v>78.370253320000003</v>
      </c>
      <c r="H42" s="283">
        <v>68.157051879999997</v>
      </c>
      <c r="I42" s="283">
        <v>203.70884455999999</v>
      </c>
      <c r="J42" s="283">
        <v>103.435</v>
      </c>
      <c r="K42" s="283">
        <v>90.415000000000006</v>
      </c>
      <c r="L42" s="283">
        <v>78.429000000000002</v>
      </c>
      <c r="M42" s="283">
        <v>87.914000000000001</v>
      </c>
      <c r="N42" s="283">
        <v>129.607</v>
      </c>
      <c r="O42" s="283">
        <v>130.636</v>
      </c>
      <c r="P42" s="283">
        <v>562.58199999999999</v>
      </c>
      <c r="Q42" s="283">
        <v>354.93200000000002</v>
      </c>
      <c r="R42" s="283">
        <v>360.44900000000001</v>
      </c>
      <c r="S42" s="283">
        <v>394.98700000000002</v>
      </c>
      <c r="T42" s="283">
        <v>920.96900000000005</v>
      </c>
      <c r="U42" s="283">
        <v>888.97900000000004</v>
      </c>
      <c r="V42" s="283">
        <v>885.44600000000003</v>
      </c>
      <c r="W42" s="283">
        <v>1333.8389999999999</v>
      </c>
      <c r="X42" s="283">
        <v>867.4</v>
      </c>
      <c r="Y42" s="283">
        <v>715.78899999999999</v>
      </c>
      <c r="Z42" s="283">
        <v>875.97299999999996</v>
      </c>
      <c r="AA42" s="283">
        <v>778.92499999999995</v>
      </c>
      <c r="AB42" s="283">
        <v>361.88299999999998</v>
      </c>
      <c r="AC42" s="283">
        <v>418.59300000000002</v>
      </c>
      <c r="AD42" s="283">
        <v>146.94744874999969</v>
      </c>
      <c r="AE42" s="283">
        <v>214.14288631999969</v>
      </c>
      <c r="AF42" s="283">
        <v>241.33498770999964</v>
      </c>
      <c r="AG42" s="283">
        <v>411.35</v>
      </c>
      <c r="AH42" s="283">
        <v>345.238</v>
      </c>
      <c r="AI42" s="283">
        <v>474.77199999999999</v>
      </c>
      <c r="AJ42" s="283">
        <v>997.21900000000005</v>
      </c>
      <c r="AK42" s="362"/>
    </row>
    <row r="43" spans="1:37">
      <c r="B43" s="95" t="s">
        <v>316</v>
      </c>
      <c r="C43" s="283">
        <v>0</v>
      </c>
      <c r="D43" s="283">
        <v>0</v>
      </c>
      <c r="E43" s="283">
        <v>0</v>
      </c>
      <c r="F43" s="283">
        <v>0</v>
      </c>
      <c r="G43" s="283">
        <v>27.173104930000001</v>
      </c>
      <c r="H43" s="283">
        <v>20.594566279999999</v>
      </c>
      <c r="I43" s="283">
        <v>23.243396600000001</v>
      </c>
      <c r="J43" s="283">
        <v>24.687999999999999</v>
      </c>
      <c r="K43" s="283">
        <v>29.655000000000001</v>
      </c>
      <c r="L43" s="283">
        <v>32.731999999999999</v>
      </c>
      <c r="M43" s="283">
        <v>35.723999999999997</v>
      </c>
      <c r="N43" s="283">
        <v>40.430999999999997</v>
      </c>
      <c r="O43" s="283">
        <v>45.726999999999997</v>
      </c>
      <c r="P43" s="283">
        <v>148.11600000000001</v>
      </c>
      <c r="Q43" s="283">
        <v>162.221</v>
      </c>
      <c r="R43" s="283">
        <v>167.44800000000001</v>
      </c>
      <c r="S43" s="283">
        <v>179.05099999999999</v>
      </c>
      <c r="T43" s="283">
        <v>175.87899999999999</v>
      </c>
      <c r="U43" s="283">
        <v>170.761</v>
      </c>
      <c r="V43" s="283">
        <v>172.74700000000001</v>
      </c>
      <c r="W43" s="283">
        <v>169.589</v>
      </c>
      <c r="X43" s="283">
        <v>152.011</v>
      </c>
      <c r="Y43" s="283">
        <v>158.19999999999999</v>
      </c>
      <c r="Z43" s="283">
        <v>144.37100000000001</v>
      </c>
      <c r="AA43" s="283">
        <v>142.703</v>
      </c>
      <c r="AB43" s="283">
        <v>143.24799999999999</v>
      </c>
      <c r="AC43" s="283">
        <v>137.17500000000001</v>
      </c>
      <c r="AD43" s="283">
        <v>141.42672777999999</v>
      </c>
      <c r="AE43" s="283">
        <v>139.86203781000003</v>
      </c>
      <c r="AF43" s="283">
        <v>129.7593952</v>
      </c>
      <c r="AG43" s="283">
        <v>121.56</v>
      </c>
      <c r="AH43" s="283">
        <v>111.074</v>
      </c>
      <c r="AI43" s="283">
        <v>132.636</v>
      </c>
      <c r="AJ43" s="283">
        <v>135.809</v>
      </c>
    </row>
    <row r="44" spans="1:37">
      <c r="B44" s="95" t="s">
        <v>53</v>
      </c>
      <c r="C44" s="283">
        <v>61.317</v>
      </c>
      <c r="D44" s="283">
        <v>81.299000000000007</v>
      </c>
      <c r="E44" s="283">
        <v>95.646000000000001</v>
      </c>
      <c r="F44" s="283">
        <v>69.510999999999996</v>
      </c>
      <c r="G44" s="283">
        <v>62.506999999999998</v>
      </c>
      <c r="H44" s="283">
        <v>79.906000000000006</v>
      </c>
      <c r="I44" s="283">
        <v>96.34</v>
      </c>
      <c r="J44" s="283">
        <v>75.569000000000003</v>
      </c>
      <c r="K44" s="283">
        <v>83.733999999999995</v>
      </c>
      <c r="L44" s="283">
        <v>130.48099999999999</v>
      </c>
      <c r="M44" s="283">
        <v>142.70400000000001</v>
      </c>
      <c r="N44" s="283">
        <v>97.384</v>
      </c>
      <c r="O44" s="283">
        <v>115.971</v>
      </c>
      <c r="P44" s="283">
        <v>239.238</v>
      </c>
      <c r="Q44" s="283">
        <v>257.76799999999997</v>
      </c>
      <c r="R44" s="283">
        <v>209.08600000000001</v>
      </c>
      <c r="S44" s="283">
        <v>200.20500000000001</v>
      </c>
      <c r="T44" s="283">
        <v>216.547</v>
      </c>
      <c r="U44" s="283">
        <v>238.21600000000001</v>
      </c>
      <c r="V44" s="283">
        <v>168.33600000000001</v>
      </c>
      <c r="W44" s="283">
        <v>167.39699999999999</v>
      </c>
      <c r="X44" s="283">
        <v>256.91199999999998</v>
      </c>
      <c r="Y44" s="283">
        <v>276.82100000000003</v>
      </c>
      <c r="Z44" s="283">
        <v>204.72399999999999</v>
      </c>
      <c r="AA44" s="283">
        <v>228.864</v>
      </c>
      <c r="AB44" s="283">
        <v>240.41399999999999</v>
      </c>
      <c r="AC44" s="283">
        <v>268.38600000000002</v>
      </c>
      <c r="AD44" s="283">
        <v>175.65606248999998</v>
      </c>
      <c r="AE44" s="283">
        <v>194.28863667999997</v>
      </c>
      <c r="AF44" s="283">
        <v>236.03318153999993</v>
      </c>
      <c r="AG44" s="283">
        <v>261.589</v>
      </c>
      <c r="AH44" s="283">
        <v>174.84800000000001</v>
      </c>
      <c r="AI44" s="283">
        <v>208.75800000000001</v>
      </c>
      <c r="AJ44" s="283">
        <v>244.15700000000001</v>
      </c>
    </row>
    <row r="45" spans="1:37">
      <c r="B45" s="95" t="s">
        <v>55</v>
      </c>
      <c r="C45" s="283">
        <v>13.27</v>
      </c>
      <c r="D45" s="283">
        <v>15.651999999999999</v>
      </c>
      <c r="E45" s="283">
        <v>13.17</v>
      </c>
      <c r="F45" s="283">
        <v>18.82</v>
      </c>
      <c r="G45" s="283">
        <v>12.916</v>
      </c>
      <c r="H45" s="283">
        <v>14.805999999999999</v>
      </c>
      <c r="I45" s="283">
        <v>14.339</v>
      </c>
      <c r="J45" s="283">
        <v>20.594000000000001</v>
      </c>
      <c r="K45" s="283">
        <v>17.242000000000001</v>
      </c>
      <c r="L45" s="283">
        <v>21.867999999999999</v>
      </c>
      <c r="M45" s="283">
        <v>27.629000000000001</v>
      </c>
      <c r="N45" s="283">
        <v>25.315999999999999</v>
      </c>
      <c r="O45" s="283">
        <v>22.678000000000001</v>
      </c>
      <c r="P45" s="283">
        <v>42.496000000000002</v>
      </c>
      <c r="Q45" s="283">
        <v>43.944000000000003</v>
      </c>
      <c r="R45" s="283">
        <v>56.951999999999998</v>
      </c>
      <c r="S45" s="283">
        <v>58.773000000000003</v>
      </c>
      <c r="T45" s="283">
        <v>58.222999999999999</v>
      </c>
      <c r="U45" s="283">
        <v>59.225999999999999</v>
      </c>
      <c r="V45" s="283">
        <v>53.619</v>
      </c>
      <c r="W45" s="283">
        <v>52.578000000000003</v>
      </c>
      <c r="X45" s="283">
        <v>50.01</v>
      </c>
      <c r="Y45" s="283">
        <v>45.692999999999998</v>
      </c>
      <c r="Z45" s="283">
        <v>53.347000000000001</v>
      </c>
      <c r="AA45" s="283">
        <v>46.283000000000001</v>
      </c>
      <c r="AB45" s="283">
        <v>45.936</v>
      </c>
      <c r="AC45" s="283">
        <v>44.558</v>
      </c>
      <c r="AD45" s="283">
        <v>50.468742499999998</v>
      </c>
      <c r="AE45" s="283">
        <v>41.502876220000005</v>
      </c>
      <c r="AF45" s="283">
        <v>42.70025205999999</v>
      </c>
      <c r="AG45" s="283">
        <v>43.052999999999997</v>
      </c>
      <c r="AH45" s="283">
        <v>48.392000000000003</v>
      </c>
      <c r="AI45" s="283">
        <v>42.192</v>
      </c>
      <c r="AJ45" s="283">
        <v>37.493000000000002</v>
      </c>
    </row>
    <row r="46" spans="1:37">
      <c r="B46" s="95" t="s">
        <v>56</v>
      </c>
      <c r="C46" s="283">
        <v>29.53</v>
      </c>
      <c r="D46" s="283">
        <v>22.457999999999998</v>
      </c>
      <c r="E46" s="283">
        <v>35.729999999999997</v>
      </c>
      <c r="F46" s="283">
        <v>16.881</v>
      </c>
      <c r="G46" s="283">
        <v>25.199000000000002</v>
      </c>
      <c r="H46" s="283">
        <v>17.436</v>
      </c>
      <c r="I46" s="283">
        <v>29.995000000000001</v>
      </c>
      <c r="J46" s="283">
        <v>16.981000000000002</v>
      </c>
      <c r="K46" s="283">
        <v>25.95</v>
      </c>
      <c r="L46" s="283">
        <v>16.370999999999999</v>
      </c>
      <c r="M46" s="283">
        <v>28.097000000000001</v>
      </c>
      <c r="N46" s="283">
        <v>36.691000000000003</v>
      </c>
      <c r="O46" s="283">
        <v>60.942999999999998</v>
      </c>
      <c r="P46" s="283">
        <v>164.22800000000001</v>
      </c>
      <c r="Q46" s="283">
        <v>124.288</v>
      </c>
      <c r="R46" s="283">
        <v>80.703999999999994</v>
      </c>
      <c r="S46" s="283">
        <v>111.52200000000001</v>
      </c>
      <c r="T46" s="283">
        <v>92.119</v>
      </c>
      <c r="U46" s="283">
        <v>130.82300000000001</v>
      </c>
      <c r="V46" s="283">
        <v>108.992</v>
      </c>
      <c r="W46" s="283">
        <v>153.96799999999999</v>
      </c>
      <c r="X46" s="283">
        <v>89.382000000000005</v>
      </c>
      <c r="Y46" s="283">
        <v>139.828</v>
      </c>
      <c r="Z46" s="283">
        <v>114.477</v>
      </c>
      <c r="AA46" s="283">
        <v>169.227</v>
      </c>
      <c r="AB46" s="283">
        <v>127.39400000000001</v>
      </c>
      <c r="AC46" s="283">
        <v>199.87700000000001</v>
      </c>
      <c r="AD46" s="283">
        <v>105.39205296000002</v>
      </c>
      <c r="AE46" s="283">
        <v>161.19092540000003</v>
      </c>
      <c r="AF46" s="283">
        <v>98.323240949999999</v>
      </c>
      <c r="AG46" s="283">
        <v>164.28700000000001</v>
      </c>
      <c r="AH46" s="283">
        <v>108.336</v>
      </c>
      <c r="AI46" s="283">
        <v>159.89400000000001</v>
      </c>
      <c r="AJ46" s="283">
        <v>95.043000000000006</v>
      </c>
    </row>
    <row r="47" spans="1:37">
      <c r="B47" s="95" t="s">
        <v>58</v>
      </c>
      <c r="C47" s="283">
        <v>9.7000000000000003E-2</v>
      </c>
      <c r="D47" s="283">
        <v>0</v>
      </c>
      <c r="E47" s="283">
        <v>0</v>
      </c>
      <c r="F47" s="283">
        <v>0</v>
      </c>
      <c r="G47" s="283">
        <v>0</v>
      </c>
      <c r="H47" s="283">
        <v>0</v>
      </c>
      <c r="I47" s="283">
        <v>0</v>
      </c>
      <c r="J47" s="283">
        <v>0</v>
      </c>
      <c r="K47" s="283">
        <v>0</v>
      </c>
      <c r="L47" s="283">
        <v>0</v>
      </c>
      <c r="M47" s="283">
        <v>6.4139999999999997</v>
      </c>
      <c r="N47" s="283">
        <v>10.119</v>
      </c>
      <c r="O47" s="283">
        <v>12.701000000000001</v>
      </c>
      <c r="P47" s="283">
        <v>12.074</v>
      </c>
      <c r="Q47" s="283">
        <v>12.911</v>
      </c>
      <c r="R47" s="283">
        <v>13.185</v>
      </c>
      <c r="S47" s="283">
        <v>13.209</v>
      </c>
      <c r="T47" s="283">
        <v>13.246</v>
      </c>
      <c r="U47" s="283">
        <v>13.284000000000001</v>
      </c>
      <c r="V47" s="283">
        <v>13.7</v>
      </c>
      <c r="W47" s="283">
        <v>13.734</v>
      </c>
      <c r="X47" s="283">
        <v>13.433999999999999</v>
      </c>
      <c r="Y47" s="283">
        <v>13.544</v>
      </c>
      <c r="Z47" s="283">
        <v>13.54</v>
      </c>
      <c r="AA47" s="283">
        <v>14.407</v>
      </c>
      <c r="AB47" s="283">
        <v>16.614000000000001</v>
      </c>
      <c r="AC47" s="283">
        <v>15.875999999999999</v>
      </c>
      <c r="AD47" s="283">
        <v>14.677261379999999</v>
      </c>
      <c r="AE47" s="283">
        <v>14.384051319999999</v>
      </c>
      <c r="AF47" s="283">
        <v>14.846004139999998</v>
      </c>
      <c r="AG47" s="283">
        <v>14.673999999999999</v>
      </c>
      <c r="AH47" s="283">
        <v>16.04</v>
      </c>
      <c r="AI47" s="283">
        <v>16.111000000000001</v>
      </c>
      <c r="AJ47" s="283">
        <v>16.126999999999999</v>
      </c>
    </row>
    <row r="48" spans="1:37">
      <c r="B48" s="95" t="s">
        <v>317</v>
      </c>
      <c r="C48" s="283">
        <v>9.7029999999999994</v>
      </c>
      <c r="D48" s="283">
        <v>9.2590000000000003</v>
      </c>
      <c r="E48" s="283">
        <v>15.885</v>
      </c>
      <c r="F48" s="283">
        <v>13.33</v>
      </c>
      <c r="G48" s="283">
        <v>16.335999999999999</v>
      </c>
      <c r="H48" s="283">
        <v>16.719000000000001</v>
      </c>
      <c r="I48" s="283">
        <v>70.02</v>
      </c>
      <c r="J48" s="283">
        <v>65.331000000000003</v>
      </c>
      <c r="K48" s="283">
        <v>45.863</v>
      </c>
      <c r="L48" s="283">
        <v>51.307000000000002</v>
      </c>
      <c r="M48" s="283">
        <v>64.622</v>
      </c>
      <c r="N48" s="283">
        <v>46.308999999999997</v>
      </c>
      <c r="O48" s="283">
        <v>54.722999999999999</v>
      </c>
      <c r="P48" s="283">
        <v>209.678</v>
      </c>
      <c r="Q48" s="283">
        <v>85.287999999999997</v>
      </c>
      <c r="R48" s="283">
        <v>115.408</v>
      </c>
      <c r="S48" s="283">
        <v>119.736</v>
      </c>
      <c r="T48" s="283">
        <v>109.848</v>
      </c>
      <c r="U48" s="283">
        <v>123.93300000000001</v>
      </c>
      <c r="V48" s="283">
        <v>120.925</v>
      </c>
      <c r="W48" s="283">
        <v>130.79</v>
      </c>
      <c r="X48" s="283">
        <v>110.849</v>
      </c>
      <c r="Y48" s="283">
        <v>45.676000000000002</v>
      </c>
      <c r="Z48" s="283">
        <v>28.477</v>
      </c>
      <c r="AA48" s="283">
        <v>35.878999999999998</v>
      </c>
      <c r="AB48" s="283">
        <v>52.054000000000002</v>
      </c>
      <c r="AC48" s="283">
        <v>32.683</v>
      </c>
      <c r="AD48" s="283">
        <v>29.173552560000022</v>
      </c>
      <c r="AE48" s="283">
        <v>30.166954990000015</v>
      </c>
      <c r="AF48" s="283">
        <v>28.18831868000002</v>
      </c>
      <c r="AG48" s="283">
        <v>29.402999999999999</v>
      </c>
      <c r="AH48" s="283">
        <v>29.707000000000001</v>
      </c>
      <c r="AI48" s="283">
        <v>25.074000000000002</v>
      </c>
      <c r="AJ48" s="283">
        <v>30.346</v>
      </c>
    </row>
    <row r="49" spans="2:36">
      <c r="B49" s="95" t="s">
        <v>119</v>
      </c>
      <c r="C49" s="283">
        <v>20.244</v>
      </c>
      <c r="D49" s="283">
        <v>1.6E-2</v>
      </c>
      <c r="E49" s="283">
        <v>1.6E-2</v>
      </c>
      <c r="F49" s="283">
        <v>0.55000000000000004</v>
      </c>
      <c r="G49" s="283">
        <v>0.55000000000000004</v>
      </c>
      <c r="H49" s="283">
        <v>0</v>
      </c>
      <c r="I49" s="283">
        <v>0</v>
      </c>
      <c r="J49" s="283">
        <v>0</v>
      </c>
      <c r="K49" s="283">
        <v>0</v>
      </c>
      <c r="L49" s="283">
        <v>0</v>
      </c>
      <c r="M49" s="283">
        <v>0</v>
      </c>
      <c r="N49" s="283">
        <v>0</v>
      </c>
      <c r="O49" s="283">
        <v>0</v>
      </c>
      <c r="P49" s="283">
        <v>0</v>
      </c>
      <c r="Q49" s="283">
        <v>0</v>
      </c>
      <c r="R49" s="283">
        <v>1.2E-2</v>
      </c>
      <c r="S49" s="283">
        <v>1.2E-2</v>
      </c>
      <c r="T49" s="283">
        <v>1.2E-2</v>
      </c>
      <c r="U49" s="283">
        <v>1.2E-2</v>
      </c>
      <c r="V49" s="283">
        <v>30.209</v>
      </c>
      <c r="W49" s="283">
        <v>43.441000000000003</v>
      </c>
      <c r="X49" s="283">
        <v>0.65900000000000003</v>
      </c>
      <c r="Y49" s="283">
        <v>54.408999999999999</v>
      </c>
      <c r="Z49" s="283">
        <v>21.707999999999998</v>
      </c>
      <c r="AA49" s="283">
        <v>21.707999999999998</v>
      </c>
      <c r="AB49" s="283">
        <v>21.707999999999998</v>
      </c>
      <c r="AC49" s="283">
        <v>0.57699999999999996</v>
      </c>
      <c r="AD49" s="283">
        <v>41.809336640000105</v>
      </c>
      <c r="AE49" s="283">
        <v>41.705880810000181</v>
      </c>
      <c r="AF49" s="283">
        <v>4.8147267100002091</v>
      </c>
      <c r="AG49" s="283">
        <v>0.40100000000000002</v>
      </c>
      <c r="AH49" s="283">
        <v>56.177</v>
      </c>
      <c r="AI49" s="283">
        <v>56.177</v>
      </c>
      <c r="AJ49" s="283">
        <v>2.2400000000000002</v>
      </c>
    </row>
    <row r="50" spans="2:36">
      <c r="B50" s="95" t="s">
        <v>136</v>
      </c>
      <c r="C50" s="283">
        <v>5.0140000000000002</v>
      </c>
      <c r="D50" s="283">
        <v>0.68200000000000005</v>
      </c>
      <c r="E50" s="283">
        <v>0</v>
      </c>
      <c r="F50" s="283">
        <v>0</v>
      </c>
      <c r="G50" s="283">
        <v>5.3999999999999999E-2</v>
      </c>
      <c r="H50" s="283">
        <v>11.286</v>
      </c>
      <c r="I50" s="283">
        <v>0.16900000000000001</v>
      </c>
      <c r="J50" s="283">
        <v>0</v>
      </c>
      <c r="K50" s="283">
        <v>0</v>
      </c>
      <c r="L50" s="283">
        <v>0</v>
      </c>
      <c r="M50" s="283">
        <v>0.127</v>
      </c>
      <c r="N50" s="283">
        <v>0.27600000000000002</v>
      </c>
      <c r="O50" s="283">
        <v>0</v>
      </c>
      <c r="P50" s="283">
        <v>3.68</v>
      </c>
      <c r="Q50" s="283">
        <v>1.228</v>
      </c>
      <c r="R50" s="283">
        <v>1.0980000000000001</v>
      </c>
      <c r="S50" s="283">
        <v>4.8520000000000003</v>
      </c>
      <c r="T50" s="283">
        <v>3.3119999999999998</v>
      </c>
      <c r="U50" s="283">
        <v>1.5960000000000001</v>
      </c>
      <c r="V50" s="283">
        <v>2.6230000000000002</v>
      </c>
      <c r="W50" s="283">
        <v>1.502</v>
      </c>
      <c r="X50" s="283">
        <v>4.1900000000000004</v>
      </c>
      <c r="Y50" s="283">
        <v>3.2639999999999998</v>
      </c>
      <c r="Z50" s="283">
        <v>4.1559999999999997</v>
      </c>
      <c r="AA50" s="283">
        <v>3.319</v>
      </c>
      <c r="AB50" s="283">
        <v>2.1909999999999998</v>
      </c>
      <c r="AC50" s="283">
        <v>2.7410000000000001</v>
      </c>
      <c r="AD50" s="283">
        <v>1.6580087200000007</v>
      </c>
      <c r="AE50" s="283">
        <v>7.7274829800000013</v>
      </c>
      <c r="AF50" s="283">
        <v>11.52968051</v>
      </c>
      <c r="AG50" s="283">
        <v>14.741</v>
      </c>
      <c r="AH50" s="283">
        <v>17.417000000000002</v>
      </c>
      <c r="AI50" s="283">
        <v>20.094000000000001</v>
      </c>
      <c r="AJ50" s="283">
        <v>21.41</v>
      </c>
    </row>
    <row r="51" spans="2:36">
      <c r="B51" s="95" t="s">
        <v>60</v>
      </c>
      <c r="C51" s="283">
        <v>1.1479999999999999</v>
      </c>
      <c r="D51" s="283">
        <v>1.085</v>
      </c>
      <c r="E51" s="283">
        <v>1.04</v>
      </c>
      <c r="F51" s="283">
        <v>0.96499999999999997</v>
      </c>
      <c r="G51" s="283">
        <v>0.996</v>
      </c>
      <c r="H51" s="283">
        <v>0.95299999999999996</v>
      </c>
      <c r="I51" s="284">
        <v>0.94699999999999995</v>
      </c>
      <c r="J51" s="283">
        <v>1.3440000000000001</v>
      </c>
      <c r="K51" s="283">
        <v>1.373</v>
      </c>
      <c r="L51" s="283">
        <v>6.0129999999999999</v>
      </c>
      <c r="M51" s="283">
        <v>6.3579999999999997</v>
      </c>
      <c r="N51" s="283">
        <v>6.0839999999999996</v>
      </c>
      <c r="O51" s="283">
        <v>6.0629999999999997</v>
      </c>
      <c r="P51" s="283">
        <v>17.151</v>
      </c>
      <c r="Q51" s="283">
        <v>51.170999999999999</v>
      </c>
      <c r="R51" s="283">
        <v>44.569000000000003</v>
      </c>
      <c r="S51" s="283">
        <v>44.378999999999998</v>
      </c>
      <c r="T51" s="283">
        <v>44.006999999999998</v>
      </c>
      <c r="U51" s="283">
        <v>50.606339179999956</v>
      </c>
      <c r="V51" s="283">
        <v>54.865006990000026</v>
      </c>
      <c r="W51" s="283">
        <v>50.804000000000002</v>
      </c>
      <c r="X51" s="283">
        <v>53.649000000000001</v>
      </c>
      <c r="Y51" s="283">
        <v>55.448</v>
      </c>
      <c r="Z51" s="283">
        <v>54.543999999999997</v>
      </c>
      <c r="AA51" s="283">
        <v>61.869</v>
      </c>
      <c r="AB51" s="283">
        <v>53.276000000000003</v>
      </c>
      <c r="AC51" s="283">
        <v>43.222000000000001</v>
      </c>
      <c r="AD51" s="283">
        <v>45.119483820000013</v>
      </c>
      <c r="AE51" s="283">
        <v>44.896999999999998</v>
      </c>
      <c r="AF51" s="283">
        <v>49.616865400000052</v>
      </c>
      <c r="AG51" s="283">
        <v>49.106999999999999</v>
      </c>
      <c r="AH51" s="283">
        <v>57.593000000000004</v>
      </c>
      <c r="AI51" s="283">
        <v>52.155999999999999</v>
      </c>
      <c r="AJ51" s="283">
        <v>52.348999999999997</v>
      </c>
    </row>
    <row r="52" spans="2:36">
      <c r="B52" s="252" t="s">
        <v>62</v>
      </c>
      <c r="C52" s="282">
        <f>SUM(C53:C63)</f>
        <v>400.99099999999999</v>
      </c>
      <c r="D52" s="282">
        <f t="shared" ref="D52:AC52" si="6">SUM(D53:D63)</f>
        <v>548.52</v>
      </c>
      <c r="E52" s="282">
        <f t="shared" si="6"/>
        <v>547.96400000000006</v>
      </c>
      <c r="F52" s="282">
        <f t="shared" si="6"/>
        <v>549.6389999999999</v>
      </c>
      <c r="G52" s="282">
        <f t="shared" si="6"/>
        <v>1048.9904433700001</v>
      </c>
      <c r="H52" s="282">
        <f t="shared" si="6"/>
        <v>1025.3869999999999</v>
      </c>
      <c r="I52" s="282">
        <f t="shared" si="6"/>
        <v>1006.53373102</v>
      </c>
      <c r="J52" s="282">
        <f t="shared" si="6"/>
        <v>1369.6610000000001</v>
      </c>
      <c r="K52" s="282">
        <f t="shared" si="6"/>
        <v>1355.575</v>
      </c>
      <c r="L52" s="282">
        <f t="shared" si="6"/>
        <v>1407.6160000000004</v>
      </c>
      <c r="M52" s="282">
        <f t="shared" si="6"/>
        <v>1597.3970000000004</v>
      </c>
      <c r="N52" s="282">
        <f t="shared" si="6"/>
        <v>1614.9179999999999</v>
      </c>
      <c r="O52" s="282">
        <f t="shared" si="6"/>
        <v>1903.6669999999999</v>
      </c>
      <c r="P52" s="282">
        <f t="shared" si="6"/>
        <v>6062.6030000000019</v>
      </c>
      <c r="Q52" s="282">
        <f t="shared" si="6"/>
        <v>6475.9009999999998</v>
      </c>
      <c r="R52" s="282">
        <f t="shared" si="6"/>
        <v>6235.1990000000014</v>
      </c>
      <c r="S52" s="282">
        <f t="shared" si="6"/>
        <v>6260.8059999999996</v>
      </c>
      <c r="T52" s="282">
        <f t="shared" si="6"/>
        <v>5597.9690000000001</v>
      </c>
      <c r="U52" s="282">
        <f t="shared" si="6"/>
        <v>5499.6476882900006</v>
      </c>
      <c r="V52" s="282">
        <f t="shared" si="6"/>
        <v>5709.0879999999988</v>
      </c>
      <c r="W52" s="282">
        <f t="shared" si="6"/>
        <v>5094.7219999999998</v>
      </c>
      <c r="X52" s="282">
        <f t="shared" si="6"/>
        <v>5196.3579999999993</v>
      </c>
      <c r="Y52" s="282">
        <f t="shared" si="6"/>
        <v>5206.4330000000009</v>
      </c>
      <c r="Z52" s="282">
        <f t="shared" si="6"/>
        <v>5105.9570000000003</v>
      </c>
      <c r="AA52" s="282">
        <f t="shared" si="6"/>
        <v>4555.8870000000006</v>
      </c>
      <c r="AB52" s="282">
        <f t="shared" si="6"/>
        <v>5549.4209999999994</v>
      </c>
      <c r="AC52" s="282">
        <f t="shared" si="6"/>
        <v>5823.0689999999977</v>
      </c>
      <c r="AD52" s="282">
        <v>5945.7453858753152</v>
      </c>
      <c r="AE52" s="282">
        <v>5918.242674260523</v>
      </c>
      <c r="AF52" s="282">
        <f>SUM(AF53:AF63)</f>
        <v>5987.1213889895316</v>
      </c>
      <c r="AG52" s="282">
        <f>SUM(AG53:AG63)</f>
        <v>5855.3109999999997</v>
      </c>
      <c r="AH52" s="282">
        <f>SUM(AH53:AH63)</f>
        <v>6175.9149999999991</v>
      </c>
      <c r="AI52" s="282">
        <f>SUM(AI53:AI63)</f>
        <v>6202.0249999999996</v>
      </c>
      <c r="AJ52" s="282">
        <f>SUM(AJ53:AJ63)</f>
        <v>5775.1839999999993</v>
      </c>
    </row>
    <row r="53" spans="2:36">
      <c r="B53" s="95" t="s">
        <v>315</v>
      </c>
      <c r="C53" s="283">
        <v>200.33099999999999</v>
      </c>
      <c r="D53" s="283">
        <v>344.92200000000003</v>
      </c>
      <c r="E53" s="283">
        <v>323.92200000000003</v>
      </c>
      <c r="F53" s="283">
        <v>316.25799999999998</v>
      </c>
      <c r="G53" s="283">
        <v>294.60997464000002</v>
      </c>
      <c r="H53" s="283">
        <v>789.51900000000001</v>
      </c>
      <c r="I53" s="283">
        <v>247.01831859000001</v>
      </c>
      <c r="J53" s="283">
        <v>587.03099999999995</v>
      </c>
      <c r="K53" s="283">
        <v>538.846</v>
      </c>
      <c r="L53" s="283">
        <v>526.73900000000003</v>
      </c>
      <c r="M53" s="283">
        <v>587.99400000000003</v>
      </c>
      <c r="N53" s="283">
        <v>521.16899999999998</v>
      </c>
      <c r="O53" s="283">
        <v>502.42599999999999</v>
      </c>
      <c r="P53" s="283">
        <v>2942.7710000000002</v>
      </c>
      <c r="Q53" s="283">
        <v>3214.1120000000001</v>
      </c>
      <c r="R53" s="283">
        <v>3140.5990000000002</v>
      </c>
      <c r="S53" s="283">
        <v>3137.2220000000002</v>
      </c>
      <c r="T53" s="283">
        <v>2624.681</v>
      </c>
      <c r="U53" s="283">
        <v>2589.808</v>
      </c>
      <c r="V53" s="283">
        <v>3224.7150000000001</v>
      </c>
      <c r="W53" s="283">
        <v>2671.07</v>
      </c>
      <c r="X53" s="283">
        <v>2933.239</v>
      </c>
      <c r="Y53" s="283">
        <v>3011.4250000000002</v>
      </c>
      <c r="Z53" s="283">
        <v>2921.1289999999999</v>
      </c>
      <c r="AA53" s="283">
        <v>2438.1329999999998</v>
      </c>
      <c r="AB53" s="283">
        <v>3479.9059999999999</v>
      </c>
      <c r="AC53" s="283">
        <v>3781.5210000000002</v>
      </c>
      <c r="AD53" s="283">
        <v>3974.1193284599999</v>
      </c>
      <c r="AE53" s="283">
        <v>3936.22198458</v>
      </c>
      <c r="AF53" s="283">
        <v>4019.7884116200003</v>
      </c>
      <c r="AG53" s="283">
        <v>3886.9949999999999</v>
      </c>
      <c r="AH53" s="283">
        <v>4175.3500000000004</v>
      </c>
      <c r="AI53" s="283">
        <v>4024.279</v>
      </c>
      <c r="AJ53" s="283">
        <v>3629.2260000000001</v>
      </c>
    </row>
    <row r="54" spans="2:36">
      <c r="B54" s="95" t="s">
        <v>316</v>
      </c>
      <c r="C54" s="283">
        <v>0</v>
      </c>
      <c r="D54" s="283">
        <v>0</v>
      </c>
      <c r="E54" s="283">
        <v>0</v>
      </c>
      <c r="F54" s="283">
        <v>0</v>
      </c>
      <c r="G54" s="284">
        <v>523.51346873</v>
      </c>
      <c r="H54" s="284">
        <v>0</v>
      </c>
      <c r="I54" s="283">
        <v>532.23141242999998</v>
      </c>
      <c r="J54" s="283">
        <v>530.54499999999996</v>
      </c>
      <c r="K54" s="283">
        <v>565.20000000000005</v>
      </c>
      <c r="L54" s="283">
        <v>561.58100000000002</v>
      </c>
      <c r="M54" s="283">
        <v>617.65200000000004</v>
      </c>
      <c r="N54" s="283">
        <v>626.14800000000002</v>
      </c>
      <c r="O54" s="283">
        <v>780.69399999999996</v>
      </c>
      <c r="P54" s="283">
        <v>1268.298</v>
      </c>
      <c r="Q54" s="283">
        <v>1419.35</v>
      </c>
      <c r="R54" s="283">
        <v>1389.43</v>
      </c>
      <c r="S54" s="283">
        <v>1400.7539999999999</v>
      </c>
      <c r="T54" s="283">
        <v>1343.1310000000001</v>
      </c>
      <c r="U54" s="283">
        <v>1370.7049999999999</v>
      </c>
      <c r="V54" s="283">
        <v>1333.951</v>
      </c>
      <c r="W54" s="283">
        <v>1301.376</v>
      </c>
      <c r="X54" s="283">
        <v>1200.1859999999999</v>
      </c>
      <c r="Y54" s="283">
        <v>1161.836</v>
      </c>
      <c r="Z54" s="283">
        <v>1159.595</v>
      </c>
      <c r="AA54" s="283">
        <v>1131.4100000000001</v>
      </c>
      <c r="AB54" s="283">
        <v>1093.078</v>
      </c>
      <c r="AC54" s="283">
        <v>1071.3440000000001</v>
      </c>
      <c r="AD54" s="283">
        <v>1047.2990392800007</v>
      </c>
      <c r="AE54" s="283">
        <v>1083.7636732200008</v>
      </c>
      <c r="AF54" s="283">
        <v>1076.2448270900006</v>
      </c>
      <c r="AG54" s="283">
        <v>1091.586</v>
      </c>
      <c r="AH54" s="283">
        <v>1064.789</v>
      </c>
      <c r="AI54" s="283">
        <v>1243.3240000000001</v>
      </c>
      <c r="AJ54" s="283">
        <v>1208.848</v>
      </c>
    </row>
    <row r="55" spans="2:36">
      <c r="B55" s="95" t="s">
        <v>317</v>
      </c>
      <c r="C55" s="284">
        <v>62.536999999999999</v>
      </c>
      <c r="D55" s="284">
        <v>64.263999999999996</v>
      </c>
      <c r="E55" s="284">
        <v>79.338999999999999</v>
      </c>
      <c r="F55" s="284">
        <v>85.721000000000004</v>
      </c>
      <c r="G55" s="284">
        <v>84.244</v>
      </c>
      <c r="H55" s="284">
        <v>85.108999999999995</v>
      </c>
      <c r="I55" s="283">
        <v>76.259</v>
      </c>
      <c r="J55" s="283">
        <v>75.216999999999999</v>
      </c>
      <c r="K55" s="283">
        <v>75.545000000000002</v>
      </c>
      <c r="L55" s="283">
        <v>141.328</v>
      </c>
      <c r="M55" s="283">
        <v>169.15299999999999</v>
      </c>
      <c r="N55" s="283">
        <v>189.36799999999999</v>
      </c>
      <c r="O55" s="283">
        <v>241.56800000000001</v>
      </c>
      <c r="P55" s="283">
        <v>247.95500000000001</v>
      </c>
      <c r="Q55" s="283">
        <v>186.33799999999999</v>
      </c>
      <c r="R55" s="283">
        <v>199.33199999999999</v>
      </c>
      <c r="S55" s="283">
        <v>191.887</v>
      </c>
      <c r="T55" s="283">
        <v>254.054</v>
      </c>
      <c r="U55" s="283">
        <v>228.405</v>
      </c>
      <c r="V55" s="283">
        <v>233.92</v>
      </c>
      <c r="W55" s="283">
        <v>236.39599999999999</v>
      </c>
      <c r="X55" s="283">
        <v>175.08500000000001</v>
      </c>
      <c r="Y55" s="283">
        <v>68.956000000000003</v>
      </c>
      <c r="Z55" s="283">
        <v>65.361999999999995</v>
      </c>
      <c r="AA55" s="283">
        <v>55.097000000000001</v>
      </c>
      <c r="AB55" s="283">
        <v>35.972999999999999</v>
      </c>
      <c r="AC55" s="283">
        <v>34.213000000000001</v>
      </c>
      <c r="AD55" s="283">
        <v>64.704700150000022</v>
      </c>
      <c r="AE55" s="283">
        <v>65.839116260000011</v>
      </c>
      <c r="AF55" s="283">
        <v>66.403668200000027</v>
      </c>
      <c r="AG55" s="283">
        <v>59.432000000000002</v>
      </c>
      <c r="AH55" s="283">
        <v>55.911999999999999</v>
      </c>
      <c r="AI55" s="283">
        <v>60.079000000000001</v>
      </c>
      <c r="AJ55" s="283">
        <v>67.900000000000006</v>
      </c>
    </row>
    <row r="56" spans="2:36">
      <c r="B56" s="95" t="s">
        <v>64</v>
      </c>
      <c r="C56" s="283">
        <v>8.9999999999999993E-3</v>
      </c>
      <c r="D56" s="283">
        <v>0.01</v>
      </c>
      <c r="E56" s="283">
        <v>0.01</v>
      </c>
      <c r="F56" s="283">
        <v>0.01</v>
      </c>
      <c r="G56" s="283">
        <v>0.01</v>
      </c>
      <c r="H56" s="283">
        <v>0.01</v>
      </c>
      <c r="I56" s="283">
        <v>1.2E-2</v>
      </c>
      <c r="J56" s="283">
        <v>8.9999999999999993E-3</v>
      </c>
      <c r="K56" s="283">
        <v>8.9999999999999993E-3</v>
      </c>
      <c r="L56" s="283">
        <v>8.9999999999999993E-3</v>
      </c>
      <c r="M56" s="283">
        <v>8.4000000000000005E-2</v>
      </c>
      <c r="N56" s="283">
        <v>8.4000000000000005E-2</v>
      </c>
      <c r="O56" s="283">
        <v>8.4000000000000005E-2</v>
      </c>
      <c r="P56" s="283">
        <v>8.4000000000000005E-2</v>
      </c>
      <c r="Q56" s="283">
        <v>8.4000000000000005E-2</v>
      </c>
      <c r="R56" s="283">
        <v>8.5000000000000006E-2</v>
      </c>
      <c r="S56" s="283">
        <v>8.5000000000000006E-2</v>
      </c>
      <c r="T56" s="283">
        <v>7.8E-2</v>
      </c>
      <c r="U56" s="283">
        <v>7.4688289999961854E-2</v>
      </c>
      <c r="V56" s="283">
        <v>0.14799999999999999</v>
      </c>
      <c r="W56" s="283">
        <v>0.14799999999999999</v>
      </c>
      <c r="X56" s="283">
        <v>7.3999999999999996E-2</v>
      </c>
      <c r="Y56" s="283">
        <v>7.2999999999999995E-2</v>
      </c>
      <c r="Z56" s="283">
        <v>7.2999999999999995E-2</v>
      </c>
      <c r="AA56" s="283">
        <v>7.2999999999999995E-2</v>
      </c>
      <c r="AB56" s="283">
        <v>7.3999999999999996E-2</v>
      </c>
      <c r="AC56" s="283">
        <v>7.3999999999999996E-2</v>
      </c>
      <c r="AD56" s="283">
        <v>7.3550000000002599E-2</v>
      </c>
      <c r="AE56" s="283">
        <v>7.3549999999996257E-2</v>
      </c>
      <c r="AF56" s="283">
        <v>7.3550000000002003E-2</v>
      </c>
      <c r="AG56" s="283">
        <v>7.3999999999999996E-2</v>
      </c>
      <c r="AH56" s="283">
        <v>7.3999999999999996E-2</v>
      </c>
      <c r="AI56" s="283">
        <v>7.3999999999999996E-2</v>
      </c>
      <c r="AJ56" s="283">
        <v>7.3999999999999996E-2</v>
      </c>
    </row>
    <row r="57" spans="2:36">
      <c r="B57" s="95" t="s">
        <v>56</v>
      </c>
      <c r="C57" s="283">
        <v>0</v>
      </c>
      <c r="D57" s="283">
        <v>0</v>
      </c>
      <c r="E57" s="283">
        <v>0</v>
      </c>
      <c r="F57" s="283">
        <v>0</v>
      </c>
      <c r="G57" s="283">
        <v>0</v>
      </c>
      <c r="H57" s="283">
        <v>0</v>
      </c>
      <c r="I57" s="283">
        <v>0</v>
      </c>
      <c r="J57" s="283">
        <v>0</v>
      </c>
      <c r="K57" s="283">
        <v>0</v>
      </c>
      <c r="L57" s="283">
        <v>0</v>
      </c>
      <c r="M57" s="283">
        <v>7.7750000000000004</v>
      </c>
      <c r="N57" s="283">
        <v>6.9850000000000003</v>
      </c>
      <c r="O57" s="283">
        <v>15.808999999999999</v>
      </c>
      <c r="P57" s="283">
        <v>15.808999999999999</v>
      </c>
      <c r="Q57" s="283">
        <v>15.808999999999999</v>
      </c>
      <c r="R57" s="283">
        <v>15.808999999999999</v>
      </c>
      <c r="S57" s="283">
        <v>15.808999999999999</v>
      </c>
      <c r="T57" s="283">
        <v>16.905999999999999</v>
      </c>
      <c r="U57" s="283">
        <v>17.893000000000001</v>
      </c>
      <c r="V57" s="283">
        <v>12.968</v>
      </c>
      <c r="W57" s="283">
        <v>17.007000000000001</v>
      </c>
      <c r="X57" s="283">
        <v>16.864000000000001</v>
      </c>
      <c r="Y57" s="283">
        <v>16.512</v>
      </c>
      <c r="Z57" s="283">
        <v>16.414999999999999</v>
      </c>
      <c r="AA57" s="283">
        <v>16.222000000000001</v>
      </c>
      <c r="AB57" s="283">
        <v>15.994999999999999</v>
      </c>
      <c r="AC57" s="283">
        <v>15.824999999999999</v>
      </c>
      <c r="AD57" s="283">
        <v>15.694776699999998</v>
      </c>
      <c r="AE57" s="283">
        <v>15.503562209999998</v>
      </c>
      <c r="AF57" s="283">
        <v>15.313933849999996</v>
      </c>
      <c r="AG57" s="283">
        <v>17.082999999999998</v>
      </c>
      <c r="AH57" s="283">
        <v>16.905000000000001</v>
      </c>
      <c r="AI57" s="283">
        <v>16.637</v>
      </c>
      <c r="AJ57" s="283">
        <v>15.707000000000001</v>
      </c>
    </row>
    <row r="58" spans="2:36">
      <c r="B58" s="95" t="s">
        <v>58</v>
      </c>
      <c r="C58" s="283">
        <v>2.8809999999999998</v>
      </c>
      <c r="D58" s="283">
        <v>2.6349999999999998</v>
      </c>
      <c r="E58" s="283">
        <v>2.6520000000000001</v>
      </c>
      <c r="F58" s="283">
        <v>2.7029999999999998</v>
      </c>
      <c r="G58" s="283">
        <v>2.6619999999999999</v>
      </c>
      <c r="H58" s="283">
        <v>2.68</v>
      </c>
      <c r="I58" s="283">
        <v>2.625</v>
      </c>
      <c r="J58" s="283">
        <v>2.5910000000000002</v>
      </c>
      <c r="K58" s="283">
        <v>2.6160000000000001</v>
      </c>
      <c r="L58" s="283">
        <v>2.6309999999999998</v>
      </c>
      <c r="M58" s="283">
        <v>30.721</v>
      </c>
      <c r="N58" s="283">
        <v>39.908000000000001</v>
      </c>
      <c r="O58" s="283">
        <v>70.158000000000001</v>
      </c>
      <c r="P58" s="283">
        <v>70.06</v>
      </c>
      <c r="Q58" s="283">
        <v>64.635999999999996</v>
      </c>
      <c r="R58" s="283">
        <v>62.034999999999997</v>
      </c>
      <c r="S58" s="283">
        <v>59.970999999999997</v>
      </c>
      <c r="T58" s="283">
        <v>58.155000000000001</v>
      </c>
      <c r="U58" s="283">
        <v>56.259</v>
      </c>
      <c r="V58" s="283">
        <v>54.055999999999997</v>
      </c>
      <c r="W58" s="283">
        <v>52.216000000000001</v>
      </c>
      <c r="X58" s="283">
        <v>50.628999999999998</v>
      </c>
      <c r="Y58" s="283">
        <v>48.337000000000003</v>
      </c>
      <c r="Z58" s="283">
        <v>44.689</v>
      </c>
      <c r="AA58" s="283">
        <v>43.991999999999997</v>
      </c>
      <c r="AB58" s="283">
        <v>70.652000000000001</v>
      </c>
      <c r="AC58" s="283">
        <v>52.854999999999997</v>
      </c>
      <c r="AD58" s="283">
        <v>50.381549370000002</v>
      </c>
      <c r="AE58" s="283">
        <v>48.547635210000003</v>
      </c>
      <c r="AF58" s="283">
        <v>46.923208439999996</v>
      </c>
      <c r="AG58" s="283">
        <v>45.081000000000003</v>
      </c>
      <c r="AH58" s="283">
        <v>42.581000000000003</v>
      </c>
      <c r="AI58" s="283">
        <v>41.66</v>
      </c>
      <c r="AJ58" s="283">
        <v>38.959000000000003</v>
      </c>
    </row>
    <row r="59" spans="2:36">
      <c r="B59" s="176" t="s">
        <v>87</v>
      </c>
      <c r="C59" s="283">
        <v>40.048999999999999</v>
      </c>
      <c r="D59" s="283">
        <v>41.957000000000001</v>
      </c>
      <c r="E59" s="283">
        <v>43.731999999999999</v>
      </c>
      <c r="F59" s="283">
        <v>44.542999999999999</v>
      </c>
      <c r="G59" s="283">
        <v>44.816000000000003</v>
      </c>
      <c r="H59" s="283">
        <v>46.749000000000002</v>
      </c>
      <c r="I59" s="283">
        <v>48.637</v>
      </c>
      <c r="J59" s="283">
        <v>70.063000000000002</v>
      </c>
      <c r="K59" s="283">
        <v>71.022999999999996</v>
      </c>
      <c r="L59" s="283">
        <v>72.561000000000007</v>
      </c>
      <c r="M59" s="283">
        <v>74.117000000000004</v>
      </c>
      <c r="N59" s="283">
        <v>111.825</v>
      </c>
      <c r="O59" s="283">
        <v>169.84200000000001</v>
      </c>
      <c r="P59" s="283">
        <v>707.322</v>
      </c>
      <c r="Q59" s="283">
        <v>716.24199999999996</v>
      </c>
      <c r="R59" s="283">
        <v>610.76099999999997</v>
      </c>
      <c r="S59" s="283">
        <v>605.66300000000001</v>
      </c>
      <c r="T59" s="283">
        <v>477.24400000000003</v>
      </c>
      <c r="U59" s="283">
        <v>449.88400000000001</v>
      </c>
      <c r="V59" s="283">
        <v>74.44</v>
      </c>
      <c r="W59" s="283">
        <v>70.043999999999997</v>
      </c>
      <c r="X59" s="283">
        <v>69.361999999999995</v>
      </c>
      <c r="Y59" s="283">
        <v>64.67</v>
      </c>
      <c r="Z59" s="283">
        <v>64.974000000000004</v>
      </c>
      <c r="AA59" s="283">
        <v>63.838000000000001</v>
      </c>
      <c r="AB59" s="283">
        <v>62.936</v>
      </c>
      <c r="AC59" s="283">
        <v>62.966999999999999</v>
      </c>
      <c r="AD59" s="283">
        <v>71.736907689999981</v>
      </c>
      <c r="AE59" s="283">
        <v>64.73354185999996</v>
      </c>
      <c r="AF59" s="283">
        <v>66.00559985999999</v>
      </c>
      <c r="AG59" s="283">
        <v>66.709000000000003</v>
      </c>
      <c r="AH59" s="283">
        <v>65.69</v>
      </c>
      <c r="AI59" s="283">
        <v>65.608000000000004</v>
      </c>
      <c r="AJ59" s="283">
        <v>64.819999999999993</v>
      </c>
    </row>
    <row r="60" spans="2:36">
      <c r="B60" s="176" t="s">
        <v>318</v>
      </c>
      <c r="C60" s="283">
        <v>89.677000000000007</v>
      </c>
      <c r="D60" s="283">
        <v>90.471000000000004</v>
      </c>
      <c r="E60" s="283">
        <v>95.536000000000001</v>
      </c>
      <c r="F60" s="283">
        <v>97.855999999999995</v>
      </c>
      <c r="G60" s="283">
        <v>96.445999999999998</v>
      </c>
      <c r="H60" s="283">
        <v>95.257999999999996</v>
      </c>
      <c r="I60" s="283">
        <v>96.150999999999996</v>
      </c>
      <c r="J60" s="283">
        <v>98.77</v>
      </c>
      <c r="K60" s="283">
        <v>96.652000000000001</v>
      </c>
      <c r="L60" s="283">
        <v>96.150999999999996</v>
      </c>
      <c r="M60" s="283">
        <v>104.538</v>
      </c>
      <c r="N60" s="283">
        <v>115</v>
      </c>
      <c r="O60" s="283">
        <v>120.899</v>
      </c>
      <c r="P60" s="283">
        <v>753.36800000000005</v>
      </c>
      <c r="Q60" s="283">
        <v>821.35</v>
      </c>
      <c r="R60" s="283">
        <v>780.20299999999997</v>
      </c>
      <c r="S60" s="283">
        <v>786.32399999999996</v>
      </c>
      <c r="T60" s="283">
        <v>771.47900000000004</v>
      </c>
      <c r="U60" s="283">
        <v>751.42899999999997</v>
      </c>
      <c r="V60" s="283">
        <v>722.00199999999995</v>
      </c>
      <c r="W60" s="283">
        <v>702.42200000000003</v>
      </c>
      <c r="X60" s="283">
        <v>679.71900000000005</v>
      </c>
      <c r="Y60" s="283">
        <v>677.47</v>
      </c>
      <c r="Z60" s="283">
        <v>665.57</v>
      </c>
      <c r="AA60" s="283">
        <v>652.92499999999995</v>
      </c>
      <c r="AB60" s="283">
        <v>638.55999999999995</v>
      </c>
      <c r="AC60" s="283">
        <v>631.89499999999998</v>
      </c>
      <c r="AD60" s="283">
        <v>573.72695658999999</v>
      </c>
      <c r="AE60" s="283">
        <v>548.26529514000003</v>
      </c>
      <c r="AF60" s="283">
        <v>538.24974732999999</v>
      </c>
      <c r="AG60" s="283">
        <v>523.18100000000004</v>
      </c>
      <c r="AH60" s="283">
        <v>596.96</v>
      </c>
      <c r="AI60" s="283">
        <v>588.13</v>
      </c>
      <c r="AJ60" s="283">
        <v>583.39200000000005</v>
      </c>
    </row>
    <row r="61" spans="2:36">
      <c r="B61" s="95" t="s">
        <v>136</v>
      </c>
      <c r="C61" s="283">
        <v>2.3210000000000002</v>
      </c>
      <c r="D61" s="283">
        <v>1.353</v>
      </c>
      <c r="E61" s="283">
        <v>0</v>
      </c>
      <c r="F61" s="283">
        <v>0</v>
      </c>
      <c r="G61" s="283">
        <v>0</v>
      </c>
      <c r="H61" s="283">
        <v>2.8140000000000001</v>
      </c>
      <c r="I61" s="283">
        <v>0</v>
      </c>
      <c r="J61" s="283">
        <v>0</v>
      </c>
      <c r="K61" s="283">
        <v>0</v>
      </c>
      <c r="L61" s="283">
        <v>0</v>
      </c>
      <c r="M61" s="283">
        <v>0.89</v>
      </c>
      <c r="N61" s="283">
        <v>1.929</v>
      </c>
      <c r="O61" s="283">
        <v>0</v>
      </c>
      <c r="P61" s="283">
        <v>25.76</v>
      </c>
      <c r="Q61" s="283">
        <v>8.593</v>
      </c>
      <c r="R61" s="283">
        <v>7.6890000000000001</v>
      </c>
      <c r="S61" s="283">
        <v>33.960999999999999</v>
      </c>
      <c r="T61" s="283">
        <v>23.187000000000001</v>
      </c>
      <c r="U61" s="283">
        <v>11.17</v>
      </c>
      <c r="V61" s="283">
        <v>18.366</v>
      </c>
      <c r="W61" s="283">
        <v>10.518000000000001</v>
      </c>
      <c r="X61" s="283">
        <v>29.329000000000001</v>
      </c>
      <c r="Y61" s="283">
        <v>22.846</v>
      </c>
      <c r="Z61" s="283">
        <v>29.096</v>
      </c>
      <c r="AA61" s="283">
        <v>23.231000000000002</v>
      </c>
      <c r="AB61" s="283">
        <v>15.335000000000001</v>
      </c>
      <c r="AC61" s="283">
        <v>19.184000000000001</v>
      </c>
      <c r="AD61" s="283">
        <v>11.606061050000008</v>
      </c>
      <c r="AE61" s="283">
        <v>16.098946690000005</v>
      </c>
      <c r="AF61" s="283">
        <v>21.137745430000003</v>
      </c>
      <c r="AG61" s="283">
        <v>23.338999999999999</v>
      </c>
      <c r="AH61" s="283">
        <v>23.222999999999999</v>
      </c>
      <c r="AI61" s="283">
        <v>21.768999999999998</v>
      </c>
      <c r="AJ61" s="283">
        <v>24.491</v>
      </c>
    </row>
    <row r="62" spans="2:36">
      <c r="B62" s="95" t="s">
        <v>69</v>
      </c>
      <c r="C62" s="283">
        <v>0</v>
      </c>
      <c r="D62" s="283">
        <v>0</v>
      </c>
      <c r="E62" s="283">
        <v>0</v>
      </c>
      <c r="F62" s="283">
        <v>0</v>
      </c>
      <c r="G62" s="283">
        <v>2.3639999999999999</v>
      </c>
      <c r="H62" s="283">
        <v>2.1389999999999998</v>
      </c>
      <c r="I62" s="283">
        <v>1.9139999999999999</v>
      </c>
      <c r="J62" s="283">
        <v>3.1549999999999998</v>
      </c>
      <c r="K62" s="283">
        <v>2.83</v>
      </c>
      <c r="L62" s="283">
        <v>2.5049999999999999</v>
      </c>
      <c r="M62" s="283">
        <v>2.1800000000000002</v>
      </c>
      <c r="N62" s="283">
        <v>2.5019999999999998</v>
      </c>
      <c r="O62" s="283">
        <v>2.1869999999999998</v>
      </c>
      <c r="P62" s="283">
        <v>31.175999999999998</v>
      </c>
      <c r="Q62" s="283">
        <v>29.387</v>
      </c>
      <c r="R62" s="283">
        <v>29.256</v>
      </c>
      <c r="S62" s="283">
        <v>29.13</v>
      </c>
      <c r="T62" s="283">
        <v>29.053999999999998</v>
      </c>
      <c r="U62" s="283">
        <v>24.02</v>
      </c>
      <c r="V62" s="283">
        <v>34.521999999999998</v>
      </c>
      <c r="W62" s="283">
        <v>33.524999999999999</v>
      </c>
      <c r="X62" s="283">
        <v>32.488</v>
      </c>
      <c r="Y62" s="283">
        <v>124.107</v>
      </c>
      <c r="Z62" s="283">
        <v>126.559</v>
      </c>
      <c r="AA62" s="283">
        <v>128.64699999999999</v>
      </c>
      <c r="AB62" s="283">
        <v>133.51</v>
      </c>
      <c r="AC62" s="283">
        <v>149.404</v>
      </c>
      <c r="AD62" s="283">
        <v>132.18815958531411</v>
      </c>
      <c r="AE62" s="283">
        <v>134.1968992505206</v>
      </c>
      <c r="AF62" s="283">
        <v>131.2007322895312</v>
      </c>
      <c r="AG62" s="283">
        <v>135.358</v>
      </c>
      <c r="AH62" s="283">
        <v>127.29</v>
      </c>
      <c r="AI62" s="283">
        <v>133.18899999999999</v>
      </c>
      <c r="AJ62" s="283">
        <v>133.571</v>
      </c>
    </row>
    <row r="63" spans="2:36">
      <c r="B63" s="95" t="s">
        <v>67</v>
      </c>
      <c r="C63" s="283">
        <v>3.1859999999999999</v>
      </c>
      <c r="D63" s="283">
        <v>2.9079999999999999</v>
      </c>
      <c r="E63" s="283">
        <v>2.7730000000000001</v>
      </c>
      <c r="F63" s="283">
        <v>2.548</v>
      </c>
      <c r="G63" s="283">
        <v>0.32500000000000001</v>
      </c>
      <c r="H63" s="283">
        <v>1.109</v>
      </c>
      <c r="I63" s="283">
        <v>1.6859999999999999</v>
      </c>
      <c r="J63" s="283">
        <v>2.2799999999999998</v>
      </c>
      <c r="K63" s="283">
        <v>2.8540000000000001</v>
      </c>
      <c r="L63" s="283">
        <v>4.1109999999999998</v>
      </c>
      <c r="M63" s="283">
        <v>2.2930000000000001</v>
      </c>
      <c r="N63" s="283">
        <v>0</v>
      </c>
      <c r="O63" s="283">
        <v>0</v>
      </c>
      <c r="P63" s="283">
        <v>0</v>
      </c>
      <c r="Q63" s="283">
        <v>0</v>
      </c>
      <c r="R63" s="283">
        <v>0</v>
      </c>
      <c r="S63" s="283">
        <v>0</v>
      </c>
      <c r="T63" s="283">
        <v>0</v>
      </c>
      <c r="U63" s="283">
        <v>0</v>
      </c>
      <c r="V63" s="283">
        <v>0</v>
      </c>
      <c r="W63" s="283">
        <v>0</v>
      </c>
      <c r="X63" s="283">
        <v>9.3829999999999991</v>
      </c>
      <c r="Y63" s="283">
        <v>10.201000000000001</v>
      </c>
      <c r="Z63" s="283">
        <v>12.494999999999999</v>
      </c>
      <c r="AA63" s="283">
        <v>2.319</v>
      </c>
      <c r="AB63" s="283">
        <v>3.4020000000000001</v>
      </c>
      <c r="AC63" s="283">
        <v>3.7869999999999999</v>
      </c>
      <c r="AD63" s="283">
        <v>4.2143569999999997</v>
      </c>
      <c r="AE63" s="283">
        <v>4.9984698399999958</v>
      </c>
      <c r="AF63" s="283">
        <v>5.7799648799999996</v>
      </c>
      <c r="AG63" s="283">
        <v>6.4729999999999999</v>
      </c>
      <c r="AH63" s="283">
        <v>7.141</v>
      </c>
      <c r="AI63" s="283">
        <v>7.2759999999999998</v>
      </c>
      <c r="AJ63" s="283">
        <v>8.1959999999999997</v>
      </c>
    </row>
    <row r="64" spans="2:36">
      <c r="B64" s="252" t="s">
        <v>348</v>
      </c>
      <c r="C64" s="282">
        <f t="shared" ref="C64:AC64" si="7">SUM(C65:C74)</f>
        <v>736.38799999999992</v>
      </c>
      <c r="D64" s="282">
        <f t="shared" si="7"/>
        <v>721.29009783999982</v>
      </c>
      <c r="E64" s="282">
        <f t="shared" si="7"/>
        <v>684.49721245000001</v>
      </c>
      <c r="F64" s="282">
        <f t="shared" si="7"/>
        <v>665.24455097999999</v>
      </c>
      <c r="G64" s="282">
        <f t="shared" si="7"/>
        <v>703.36668022999993</v>
      </c>
      <c r="H64" s="282">
        <f t="shared" si="7"/>
        <v>686.44768022999995</v>
      </c>
      <c r="I64" s="282">
        <f t="shared" si="7"/>
        <v>683.76070649999997</v>
      </c>
      <c r="J64" s="282">
        <f t="shared" si="7"/>
        <v>690.43469886000003</v>
      </c>
      <c r="K64" s="282">
        <f t="shared" si="7"/>
        <v>1665.13787355</v>
      </c>
      <c r="L64" s="282">
        <f t="shared" si="7"/>
        <v>1656.0646229549998</v>
      </c>
      <c r="M64" s="282">
        <f t="shared" si="7"/>
        <v>1662.5355506114067</v>
      </c>
      <c r="N64" s="282">
        <f t="shared" si="7"/>
        <v>2526.4737574855808</v>
      </c>
      <c r="O64" s="282">
        <f t="shared" si="7"/>
        <v>2583.2128530552573</v>
      </c>
      <c r="P64" s="282">
        <f t="shared" si="7"/>
        <v>2593.0574911900003</v>
      </c>
      <c r="Q64" s="282">
        <f t="shared" si="7"/>
        <v>2605.8290000000006</v>
      </c>
      <c r="R64" s="282">
        <f t="shared" si="7"/>
        <v>2412.3609999999999</v>
      </c>
      <c r="S64" s="282">
        <f t="shared" si="7"/>
        <v>3234.5540000000001</v>
      </c>
      <c r="T64" s="282">
        <f t="shared" si="7"/>
        <v>3086.8399999999997</v>
      </c>
      <c r="U64" s="282">
        <f t="shared" si="7"/>
        <v>3054.2739999999994</v>
      </c>
      <c r="V64" s="282">
        <f t="shared" si="7"/>
        <v>3201.4679999999998</v>
      </c>
      <c r="W64" s="282">
        <f t="shared" si="7"/>
        <v>3142.2006666666666</v>
      </c>
      <c r="X64" s="282">
        <f t="shared" si="7"/>
        <v>3053.0549999999998</v>
      </c>
      <c r="Y64" s="282">
        <f t="shared" si="7"/>
        <v>2982.8580000000002</v>
      </c>
      <c r="Z64" s="282">
        <f t="shared" si="7"/>
        <v>2857.3430000000003</v>
      </c>
      <c r="AA64" s="282">
        <f t="shared" si="7"/>
        <v>2954.2530000000002</v>
      </c>
      <c r="AB64" s="282">
        <f t="shared" si="7"/>
        <v>2957.9190000000003</v>
      </c>
      <c r="AC64" s="282">
        <f t="shared" si="7"/>
        <v>2771.7420000000002</v>
      </c>
      <c r="AD64" s="282">
        <v>2780.2350312046847</v>
      </c>
      <c r="AE64" s="282">
        <v>2920.1300120994802</v>
      </c>
      <c r="AF64" s="282">
        <f>SUM(AF65:AF74)</f>
        <v>2952.3287916804625</v>
      </c>
      <c r="AG64" s="282">
        <f>SUM(AG65:AG74)</f>
        <v>2906.5090000000005</v>
      </c>
      <c r="AH64" s="282">
        <f>SUM(AH65:AH74)</f>
        <v>2833.6559999999999</v>
      </c>
      <c r="AI64" s="282">
        <f>SUM(AI65:AI74)</f>
        <v>2926.63</v>
      </c>
      <c r="AJ64" s="282">
        <f>SUM(AJ65:AJ74)</f>
        <v>2979.1329999999998</v>
      </c>
    </row>
    <row r="65" spans="2:36">
      <c r="B65" s="95" t="s">
        <v>73</v>
      </c>
      <c r="C65" s="283">
        <v>496.411</v>
      </c>
      <c r="D65" s="283">
        <v>496.411</v>
      </c>
      <c r="E65" s="283">
        <v>496.411</v>
      </c>
      <c r="F65" s="283">
        <v>496.411</v>
      </c>
      <c r="G65" s="283">
        <v>496.411</v>
      </c>
      <c r="H65" s="283">
        <v>496.411</v>
      </c>
      <c r="I65" s="283">
        <v>496.411</v>
      </c>
      <c r="J65" s="283">
        <v>531.41099236000002</v>
      </c>
      <c r="K65" s="283">
        <v>1631.6245923600002</v>
      </c>
      <c r="L65" s="283">
        <v>1651.6245974000001</v>
      </c>
      <c r="M65" s="283">
        <v>1651.6245974000001</v>
      </c>
      <c r="N65" s="283">
        <v>2569.6245974000003</v>
      </c>
      <c r="O65" s="283">
        <v>2452.1660000000002</v>
      </c>
      <c r="P65" s="283">
        <v>2451.6990000000001</v>
      </c>
      <c r="Q65" s="283">
        <v>2451.6990000000001</v>
      </c>
      <c r="R65" s="283">
        <v>2451.6669999999999</v>
      </c>
      <c r="S65" s="283">
        <v>2451.66</v>
      </c>
      <c r="T65" s="283">
        <v>2451.66</v>
      </c>
      <c r="U65" s="283">
        <v>2451.66</v>
      </c>
      <c r="V65" s="283">
        <v>2451.66</v>
      </c>
      <c r="W65" s="283">
        <v>2451.66</v>
      </c>
      <c r="X65" s="283">
        <v>2451.66</v>
      </c>
      <c r="Y65" s="283">
        <v>2451.66</v>
      </c>
      <c r="Z65" s="283">
        <v>2451.66</v>
      </c>
      <c r="AA65" s="283">
        <v>2451.66</v>
      </c>
      <c r="AB65" s="283">
        <v>2451.66</v>
      </c>
      <c r="AC65" s="283">
        <v>2451.66</v>
      </c>
      <c r="AD65" s="283">
        <v>2451.6598279799996</v>
      </c>
      <c r="AE65" s="283">
        <v>2451.6598279799996</v>
      </c>
      <c r="AF65" s="283">
        <v>2451.6598279799996</v>
      </c>
      <c r="AG65" s="283">
        <v>2451.66</v>
      </c>
      <c r="AH65" s="283">
        <v>2451.66</v>
      </c>
      <c r="AI65" s="283">
        <v>2451.66</v>
      </c>
      <c r="AJ65" s="283">
        <v>2451.66</v>
      </c>
    </row>
    <row r="66" spans="2:36">
      <c r="B66" s="95" t="s">
        <v>191</v>
      </c>
      <c r="C66" s="285">
        <v>0</v>
      </c>
      <c r="D66" s="285">
        <v>0</v>
      </c>
      <c r="E66" s="285">
        <v>0</v>
      </c>
      <c r="F66" s="285">
        <v>0</v>
      </c>
      <c r="G66" s="285">
        <v>0</v>
      </c>
      <c r="H66" s="285">
        <v>0</v>
      </c>
      <c r="I66" s="285">
        <v>0</v>
      </c>
      <c r="J66" s="283">
        <v>-28.638999999999999</v>
      </c>
      <c r="K66" s="283">
        <v>34.314341589999998</v>
      </c>
      <c r="L66" s="283">
        <v>38.96670159</v>
      </c>
      <c r="M66" s="283">
        <v>34.844580190000002</v>
      </c>
      <c r="N66" s="283">
        <v>35.236219789999993</v>
      </c>
      <c r="O66" s="283">
        <v>41.363119599999997</v>
      </c>
      <c r="P66" s="283">
        <v>0</v>
      </c>
      <c r="Q66" s="283">
        <v>0</v>
      </c>
      <c r="R66" s="283">
        <v>0</v>
      </c>
      <c r="S66" s="283">
        <v>0</v>
      </c>
      <c r="T66" s="283">
        <v>0</v>
      </c>
      <c r="U66" s="283">
        <v>0</v>
      </c>
      <c r="V66" s="283">
        <v>0</v>
      </c>
      <c r="W66" s="283">
        <v>0</v>
      </c>
      <c r="X66" s="283">
        <v>0</v>
      </c>
      <c r="Y66" s="283">
        <v>0</v>
      </c>
      <c r="Z66" s="283">
        <v>0</v>
      </c>
      <c r="AA66" s="283">
        <v>0</v>
      </c>
      <c r="AB66" s="283">
        <v>0</v>
      </c>
      <c r="AC66" s="283">
        <v>0</v>
      </c>
      <c r="AD66" s="283">
        <v>0</v>
      </c>
      <c r="AE66" s="283">
        <v>0</v>
      </c>
      <c r="AF66" s="283">
        <v>0</v>
      </c>
      <c r="AG66" s="283">
        <v>0</v>
      </c>
      <c r="AH66" s="283">
        <v>0</v>
      </c>
      <c r="AI66" s="283">
        <v>0</v>
      </c>
      <c r="AJ66" s="283">
        <v>0</v>
      </c>
    </row>
    <row r="67" spans="2:36">
      <c r="B67" s="95" t="s">
        <v>74</v>
      </c>
      <c r="C67" s="283">
        <v>6.625</v>
      </c>
      <c r="D67" s="283">
        <v>6.601</v>
      </c>
      <c r="E67" s="283">
        <v>6.6011146100000007</v>
      </c>
      <c r="F67" s="283">
        <v>5.9414531399999992</v>
      </c>
      <c r="G67" s="283">
        <v>5.9396802299999996</v>
      </c>
      <c r="H67" s="283">
        <v>5.9396802299999996</v>
      </c>
      <c r="I67" s="283">
        <v>5.6753415900000004</v>
      </c>
      <c r="J67" s="283">
        <v>34.314341589999998</v>
      </c>
      <c r="K67" s="283">
        <v>232.93613386000001</v>
      </c>
      <c r="L67" s="283">
        <v>232.93391761000001</v>
      </c>
      <c r="M67" s="283">
        <v>165.51492807999998</v>
      </c>
      <c r="N67" s="283">
        <v>124.40692807999997</v>
      </c>
      <c r="O67" s="283">
        <v>124.407</v>
      </c>
      <c r="P67" s="283">
        <v>35.533412129999995</v>
      </c>
      <c r="Q67" s="283">
        <v>35.57</v>
      </c>
      <c r="R67" s="283">
        <v>33.420999999999999</v>
      </c>
      <c r="S67" s="283">
        <v>29.584</v>
      </c>
      <c r="T67" s="283">
        <v>29.584</v>
      </c>
      <c r="U67" s="283">
        <v>29.463999999999999</v>
      </c>
      <c r="V67" s="283">
        <v>39.079000000000001</v>
      </c>
      <c r="W67" s="283">
        <v>28.33</v>
      </c>
      <c r="X67" s="283">
        <v>28.082000000000001</v>
      </c>
      <c r="Y67" s="283">
        <v>25.236999999999998</v>
      </c>
      <c r="Z67" s="283">
        <v>25.163</v>
      </c>
      <c r="AA67" s="283">
        <v>25.163</v>
      </c>
      <c r="AB67" s="283">
        <v>25.163</v>
      </c>
      <c r="AC67" s="283">
        <v>23.137</v>
      </c>
      <c r="AD67" s="283">
        <v>23.137348070000005</v>
      </c>
      <c r="AE67" s="283">
        <v>23.137348070000005</v>
      </c>
      <c r="AF67" s="283">
        <v>23.137348070000005</v>
      </c>
      <c r="AG67" s="283">
        <v>22.129000000000001</v>
      </c>
      <c r="AH67" s="283">
        <v>22.129000000000001</v>
      </c>
      <c r="AI67" s="283">
        <v>22.129000000000001</v>
      </c>
      <c r="AJ67" s="283">
        <v>22.129000000000001</v>
      </c>
    </row>
    <row r="68" spans="2:36">
      <c r="B68" s="95" t="s">
        <v>75</v>
      </c>
      <c r="C68" s="283">
        <v>277.19099999999997</v>
      </c>
      <c r="D68" s="283">
        <v>277.20509784000001</v>
      </c>
      <c r="E68" s="283">
        <v>246.38343082</v>
      </c>
      <c r="F68" s="283">
        <v>248.10043082000001</v>
      </c>
      <c r="G68" s="283">
        <v>248.1</v>
      </c>
      <c r="H68" s="283">
        <v>248.1</v>
      </c>
      <c r="I68" s="283">
        <v>248.10556500000001</v>
      </c>
      <c r="J68" s="283">
        <v>244.08809348</v>
      </c>
      <c r="K68" s="283">
        <v>-67.575645589999993</v>
      </c>
      <c r="L68" s="283">
        <v>-110.50891508000004</v>
      </c>
      <c r="M68" s="283">
        <v>-38.206251950000016</v>
      </c>
      <c r="N68" s="283">
        <v>-38.206251950000016</v>
      </c>
      <c r="O68" s="283">
        <v>-38.206000000000003</v>
      </c>
      <c r="P68" s="283">
        <v>124.407</v>
      </c>
      <c r="Q68" s="283">
        <v>124.407</v>
      </c>
      <c r="R68" s="283">
        <v>36.741999999999997</v>
      </c>
      <c r="S68" s="283">
        <v>36.741999999999997</v>
      </c>
      <c r="T68" s="283">
        <v>36.741999999999997</v>
      </c>
      <c r="U68" s="283">
        <v>36.741999999999997</v>
      </c>
      <c r="V68" s="283">
        <v>592.98599999999999</v>
      </c>
      <c r="W68" s="283">
        <v>592.98599999999999</v>
      </c>
      <c r="X68" s="283">
        <v>592.98599999999999</v>
      </c>
      <c r="Y68" s="283">
        <v>592.98599999999999</v>
      </c>
      <c r="Z68" s="283">
        <v>237.369</v>
      </c>
      <c r="AA68" s="283">
        <v>263.35599999999999</v>
      </c>
      <c r="AB68" s="283">
        <v>263.35599999999999</v>
      </c>
      <c r="AC68" s="283">
        <v>85.355999999999995</v>
      </c>
      <c r="AD68" s="283">
        <f>65.13430554+85.1456129599982</f>
        <v>150.27991849999819</v>
      </c>
      <c r="AE68" s="283">
        <v>150.28</v>
      </c>
      <c r="AF68" s="283">
        <v>150.27991850000015</v>
      </c>
      <c r="AG68" s="283">
        <v>150.28</v>
      </c>
      <c r="AH68" s="283">
        <v>244.643</v>
      </c>
      <c r="AI68" s="283">
        <v>244.643</v>
      </c>
      <c r="AJ68" s="283">
        <v>244.643</v>
      </c>
    </row>
    <row r="69" spans="2:36">
      <c r="B69" s="95" t="s">
        <v>76</v>
      </c>
      <c r="C69" s="283">
        <v>-14.212999999999999</v>
      </c>
      <c r="D69" s="283">
        <v>-26.324999999999999</v>
      </c>
      <c r="E69" s="283">
        <v>-15.642332979999999</v>
      </c>
      <c r="F69" s="283">
        <v>-15.642332979999999</v>
      </c>
      <c r="G69" s="283">
        <v>-15.641999999999999</v>
      </c>
      <c r="H69" s="283">
        <v>-15.641999999999999</v>
      </c>
      <c r="I69" s="283">
        <v>-15.598200090000001</v>
      </c>
      <c r="J69" s="283">
        <v>-21.174179899999999</v>
      </c>
      <c r="K69" s="283">
        <v>-69.566000000000003</v>
      </c>
      <c r="L69" s="283">
        <v>-69.566000000000003</v>
      </c>
      <c r="M69" s="283">
        <v>-69.566000000000003</v>
      </c>
      <c r="N69" s="283">
        <v>-69.566000000000003</v>
      </c>
      <c r="O69" s="283">
        <v>-69.566000000000003</v>
      </c>
      <c r="P69" s="283">
        <v>-31.108920940000001</v>
      </c>
      <c r="Q69" s="283">
        <v>-31.109000000000002</v>
      </c>
      <c r="R69" s="283">
        <v>-71.152000000000001</v>
      </c>
      <c r="S69" s="283">
        <v>-165.60900000000001</v>
      </c>
      <c r="T69" s="283">
        <v>-183.49100000000001</v>
      </c>
      <c r="U69" s="283">
        <v>-185.791</v>
      </c>
      <c r="V69" s="283">
        <v>-184.27099999999999</v>
      </c>
      <c r="W69" s="283">
        <v>-180.44399999999999</v>
      </c>
      <c r="X69" s="283">
        <v>-180.44399999999999</v>
      </c>
      <c r="Y69" s="283">
        <v>-178.357</v>
      </c>
      <c r="Z69" s="283">
        <v>-178.28299999999999</v>
      </c>
      <c r="AA69" s="283">
        <v>-178.28299999999999</v>
      </c>
      <c r="AB69" s="283">
        <v>-178.28299999999999</v>
      </c>
      <c r="AC69" s="283">
        <v>-176.25700000000001</v>
      </c>
      <c r="AD69" s="283">
        <v>-176.25683891</v>
      </c>
      <c r="AE69" s="283">
        <v>-176.25683891</v>
      </c>
      <c r="AF69" s="283">
        <v>-176.25683891</v>
      </c>
      <c r="AG69" s="283">
        <v>-175.249</v>
      </c>
      <c r="AH69" s="283">
        <v>-175.249</v>
      </c>
      <c r="AI69" s="283">
        <v>-175.249</v>
      </c>
      <c r="AJ69" s="283">
        <v>-175.249</v>
      </c>
    </row>
    <row r="70" spans="2:36">
      <c r="B70" s="95" t="s">
        <v>319</v>
      </c>
      <c r="C70" s="283">
        <v>-69.566000000000003</v>
      </c>
      <c r="D70" s="283">
        <v>-69.566000000000003</v>
      </c>
      <c r="E70" s="283">
        <v>-69.566000000000003</v>
      </c>
      <c r="F70" s="283">
        <v>-69.566000000000003</v>
      </c>
      <c r="G70" s="283">
        <v>-69.566000000000003</v>
      </c>
      <c r="H70" s="283">
        <v>-69.566000000000003</v>
      </c>
      <c r="I70" s="283">
        <v>-69.566000000000003</v>
      </c>
      <c r="J70" s="283">
        <v>-69.566000000000003</v>
      </c>
      <c r="K70" s="283">
        <v>-18.81654867</v>
      </c>
      <c r="L70" s="283">
        <v>-9.8315486700000001</v>
      </c>
      <c r="M70" s="283">
        <v>-8.0035486700000007</v>
      </c>
      <c r="N70" s="283">
        <v>0</v>
      </c>
      <c r="O70" s="283">
        <v>49.996000000000002</v>
      </c>
      <c r="P70" s="283">
        <v>-69.566000000000003</v>
      </c>
      <c r="Q70" s="283">
        <v>-69.566000000000003</v>
      </c>
      <c r="R70" s="283">
        <v>-69.566000000000003</v>
      </c>
      <c r="S70" s="283">
        <v>588.91600000000005</v>
      </c>
      <c r="T70" s="283">
        <v>-132.54300000000001</v>
      </c>
      <c r="U70" s="283">
        <v>-134.30000000000001</v>
      </c>
      <c r="V70" s="283">
        <v>-136.107</v>
      </c>
      <c r="W70" s="283">
        <v>-137.964</v>
      </c>
      <c r="X70" s="283">
        <v>-133.32499999999999</v>
      </c>
      <c r="Y70" s="283">
        <v>-130.97900000000001</v>
      </c>
      <c r="Z70" s="283">
        <v>-131.42400000000001</v>
      </c>
      <c r="AA70" s="283">
        <v>-173.536</v>
      </c>
      <c r="AB70" s="283">
        <v>-174.00899999999999</v>
      </c>
      <c r="AC70" s="283">
        <v>-174.99600000000001</v>
      </c>
      <c r="AD70" s="283">
        <v>-174.56760314000041</v>
      </c>
      <c r="AE70" s="283">
        <v>-174.79560469000043</v>
      </c>
      <c r="AF70" s="283">
        <v>-175.03235254000046</v>
      </c>
      <c r="AG70" s="283">
        <v>-236.19800000000001</v>
      </c>
      <c r="AH70" s="283">
        <v>-242.71799999999999</v>
      </c>
      <c r="AI70" s="283">
        <v>-260.50900000000001</v>
      </c>
      <c r="AJ70" s="283">
        <v>-261.16199999999998</v>
      </c>
    </row>
    <row r="71" spans="2:36">
      <c r="B71" s="95" t="s">
        <v>88</v>
      </c>
      <c r="C71" s="283">
        <v>39.94</v>
      </c>
      <c r="D71" s="283">
        <v>36.963999999999999</v>
      </c>
      <c r="E71" s="283">
        <v>20.309999999999999</v>
      </c>
      <c r="F71" s="283">
        <v>0</v>
      </c>
      <c r="G71" s="283">
        <v>38.124000000000002</v>
      </c>
      <c r="H71" s="283">
        <v>21.204999999999998</v>
      </c>
      <c r="I71" s="283">
        <v>18.733000000000001</v>
      </c>
      <c r="J71" s="283">
        <v>4.5132999999987077E-4</v>
      </c>
      <c r="K71" s="283">
        <v>0</v>
      </c>
      <c r="L71" s="283">
        <v>0.9998701050000004</v>
      </c>
      <c r="M71" s="283">
        <v>5.7092455614069992</v>
      </c>
      <c r="N71" s="283">
        <v>20.9562641655804</v>
      </c>
      <c r="O71" s="283">
        <v>23.052733455256796</v>
      </c>
      <c r="P71" s="283">
        <v>52.97</v>
      </c>
      <c r="Q71" s="283">
        <v>66.153999999999996</v>
      </c>
      <c r="R71" s="283">
        <v>0</v>
      </c>
      <c r="S71" s="283">
        <v>0</v>
      </c>
      <c r="T71" s="283">
        <v>487.005</v>
      </c>
      <c r="U71" s="283">
        <v>440.28</v>
      </c>
      <c r="V71" s="283">
        <v>0</v>
      </c>
      <c r="W71" s="283">
        <v>0</v>
      </c>
      <c r="X71" s="283">
        <v>0</v>
      </c>
      <c r="Y71" s="283">
        <v>-209.256</v>
      </c>
      <c r="Z71" s="283">
        <v>0</v>
      </c>
      <c r="AA71" s="283">
        <v>64.536000000000001</v>
      </c>
      <c r="AB71" s="283">
        <v>49.847000000000001</v>
      </c>
      <c r="AC71" s="283">
        <v>69.293000000000006</v>
      </c>
      <c r="AD71" s="283">
        <v>0</v>
      </c>
      <c r="AE71" s="283">
        <v>95.724000000000004</v>
      </c>
      <c r="AF71" s="283">
        <v>105.26303850999369</v>
      </c>
      <c r="AG71" s="283">
        <v>141.80600000000001</v>
      </c>
      <c r="AH71" s="283">
        <v>0</v>
      </c>
      <c r="AI71" s="283">
        <v>106.21299999999999</v>
      </c>
      <c r="AJ71" s="283">
        <v>135.34100000000001</v>
      </c>
    </row>
    <row r="72" spans="2:36">
      <c r="B72" s="95" t="s">
        <v>77</v>
      </c>
      <c r="C72" s="283">
        <v>0</v>
      </c>
      <c r="D72" s="283">
        <v>0</v>
      </c>
      <c r="E72" s="283">
        <v>0</v>
      </c>
      <c r="F72" s="283">
        <v>0</v>
      </c>
      <c r="G72" s="283">
        <v>0</v>
      </c>
      <c r="H72" s="283">
        <v>0</v>
      </c>
      <c r="I72" s="283">
        <v>0</v>
      </c>
      <c r="J72" s="283">
        <v>0</v>
      </c>
      <c r="K72" s="283">
        <v>0</v>
      </c>
      <c r="L72" s="283">
        <v>0</v>
      </c>
      <c r="M72" s="283">
        <v>0</v>
      </c>
      <c r="N72" s="283">
        <v>0</v>
      </c>
      <c r="O72" s="283">
        <v>0</v>
      </c>
      <c r="P72" s="283">
        <v>0</v>
      </c>
      <c r="Q72" s="283">
        <v>0</v>
      </c>
      <c r="R72" s="283">
        <v>0</v>
      </c>
      <c r="S72" s="283">
        <v>-90.113</v>
      </c>
      <c r="T72" s="283">
        <v>0</v>
      </c>
      <c r="U72" s="283">
        <v>0</v>
      </c>
      <c r="V72" s="283">
        <v>0</v>
      </c>
      <c r="W72" s="283">
        <v>-77.209999999999994</v>
      </c>
      <c r="X72" s="283">
        <v>-179.02099999999999</v>
      </c>
      <c r="Y72" s="283">
        <v>0</v>
      </c>
      <c r="Z72" s="283">
        <v>0</v>
      </c>
      <c r="AA72" s="283">
        <v>0</v>
      </c>
      <c r="AB72" s="283">
        <v>0</v>
      </c>
      <c r="AC72" s="283">
        <v>0</v>
      </c>
      <c r="AD72" s="283">
        <v>0</v>
      </c>
      <c r="AE72" s="283">
        <v>0</v>
      </c>
      <c r="AF72" s="283">
        <v>0</v>
      </c>
      <c r="AG72" s="283">
        <v>0</v>
      </c>
      <c r="AH72" s="283">
        <v>0</v>
      </c>
      <c r="AI72" s="283">
        <v>0</v>
      </c>
      <c r="AJ72" s="283">
        <v>0</v>
      </c>
    </row>
    <row r="73" spans="2:36">
      <c r="B73" s="176" t="s">
        <v>43</v>
      </c>
      <c r="C73" s="283">
        <v>0</v>
      </c>
      <c r="D73" s="283">
        <v>0</v>
      </c>
      <c r="E73" s="283">
        <v>0</v>
      </c>
      <c r="F73" s="283">
        <v>0</v>
      </c>
      <c r="G73" s="283">
        <v>0</v>
      </c>
      <c r="H73" s="283">
        <v>0</v>
      </c>
      <c r="I73" s="283">
        <v>0</v>
      </c>
      <c r="J73" s="283">
        <v>0</v>
      </c>
      <c r="K73" s="283">
        <v>0</v>
      </c>
      <c r="L73" s="283">
        <v>0</v>
      </c>
      <c r="M73" s="283">
        <v>0</v>
      </c>
      <c r="N73" s="283">
        <v>0</v>
      </c>
      <c r="O73" s="283">
        <v>0</v>
      </c>
      <c r="P73" s="283">
        <v>29.123000000000001</v>
      </c>
      <c r="Q73" s="283">
        <v>28.673999999999999</v>
      </c>
      <c r="R73" s="283">
        <v>31.248999999999999</v>
      </c>
      <c r="S73" s="283">
        <v>383.37400000000002</v>
      </c>
      <c r="T73" s="283">
        <v>397.88299999999998</v>
      </c>
      <c r="U73" s="283">
        <v>416.21899999999999</v>
      </c>
      <c r="V73" s="283">
        <v>438.12099999999998</v>
      </c>
      <c r="W73" s="283">
        <v>464.84266666666667</v>
      </c>
      <c r="X73" s="283">
        <v>473.11700000000002</v>
      </c>
      <c r="Y73" s="283">
        <v>431.56700000000001</v>
      </c>
      <c r="Z73" s="283">
        <v>452.858</v>
      </c>
      <c r="AA73" s="283">
        <v>501.35700000000003</v>
      </c>
      <c r="AB73" s="283">
        <v>520.18499999999995</v>
      </c>
      <c r="AC73" s="283">
        <v>493.54899999999998</v>
      </c>
      <c r="AD73" s="283">
        <v>505.98237870468722</v>
      </c>
      <c r="AE73" s="283">
        <v>550.38127964948069</v>
      </c>
      <c r="AF73" s="283">
        <v>573.2778500704693</v>
      </c>
      <c r="AG73" s="283">
        <v>552.08100000000002</v>
      </c>
      <c r="AH73" s="283">
        <v>533.19100000000003</v>
      </c>
      <c r="AI73" s="283">
        <v>537.74300000000005</v>
      </c>
      <c r="AJ73" s="283">
        <v>561.77099999999996</v>
      </c>
    </row>
    <row r="74" spans="2:36">
      <c r="B74" s="95" t="s">
        <v>78</v>
      </c>
      <c r="C74" s="283">
        <v>0</v>
      </c>
      <c r="D74" s="283">
        <v>0</v>
      </c>
      <c r="E74" s="283">
        <v>0</v>
      </c>
      <c r="F74" s="283">
        <v>0</v>
      </c>
      <c r="G74" s="283">
        <v>0</v>
      </c>
      <c r="H74" s="283">
        <v>0</v>
      </c>
      <c r="I74" s="283">
        <v>0</v>
      </c>
      <c r="J74" s="283">
        <v>0</v>
      </c>
      <c r="K74" s="283">
        <v>-77.778999999999996</v>
      </c>
      <c r="L74" s="283">
        <v>-78.554000000000002</v>
      </c>
      <c r="M74" s="283">
        <v>-79.382000000000005</v>
      </c>
      <c r="N74" s="283">
        <v>-115.97799999999999</v>
      </c>
      <c r="O74" s="283">
        <v>0</v>
      </c>
      <c r="P74" s="283">
        <v>0</v>
      </c>
      <c r="Q74" s="283">
        <v>0</v>
      </c>
      <c r="R74" s="283">
        <v>0</v>
      </c>
      <c r="S74" s="283">
        <v>0</v>
      </c>
      <c r="T74" s="283">
        <v>0</v>
      </c>
      <c r="U74" s="283">
        <v>0</v>
      </c>
      <c r="V74" s="283">
        <v>0</v>
      </c>
      <c r="W74" s="283">
        <v>0</v>
      </c>
      <c r="X74" s="283">
        <v>0</v>
      </c>
      <c r="Y74" s="283">
        <v>0</v>
      </c>
      <c r="Z74" s="283">
        <v>0</v>
      </c>
      <c r="AA74" s="283">
        <v>0</v>
      </c>
      <c r="AB74" s="283">
        <v>0</v>
      </c>
      <c r="AC74" s="283">
        <v>0</v>
      </c>
      <c r="AD74" s="283">
        <v>0</v>
      </c>
      <c r="AE74" s="283">
        <v>0</v>
      </c>
      <c r="AF74" s="283">
        <v>0</v>
      </c>
      <c r="AG74" s="283">
        <v>0</v>
      </c>
      <c r="AH74" s="283">
        <v>0</v>
      </c>
      <c r="AI74" s="283">
        <v>0</v>
      </c>
      <c r="AJ74" s="283">
        <v>0</v>
      </c>
    </row>
    <row r="75" spans="2:36">
      <c r="B75" s="254" t="s">
        <v>80</v>
      </c>
      <c r="C75" s="286">
        <f t="shared" ref="C75:AC75" si="8">SUM(C39,C52,C64)</f>
        <v>1368.5919999999999</v>
      </c>
      <c r="D75" s="286">
        <f t="shared" si="8"/>
        <v>1491.6260978399996</v>
      </c>
      <c r="E75" s="286">
        <f t="shared" si="8"/>
        <v>1497.99621245</v>
      </c>
      <c r="F75" s="286">
        <f t="shared" si="8"/>
        <v>1446.4695509799999</v>
      </c>
      <c r="G75" s="286">
        <f t="shared" si="8"/>
        <v>2003.54448185</v>
      </c>
      <c r="H75" s="286">
        <f t="shared" si="8"/>
        <v>1970.6172983900001</v>
      </c>
      <c r="I75" s="286">
        <f t="shared" si="8"/>
        <v>2160.9506786800002</v>
      </c>
      <c r="J75" s="286">
        <f t="shared" si="8"/>
        <v>2400.0206988600003</v>
      </c>
      <c r="K75" s="286">
        <f t="shared" si="8"/>
        <v>3356.8998735499999</v>
      </c>
      <c r="L75" s="286">
        <f t="shared" si="8"/>
        <v>3445.2636229550003</v>
      </c>
      <c r="M75" s="286">
        <f t="shared" si="8"/>
        <v>3702.6015506114072</v>
      </c>
      <c r="N75" s="286">
        <f t="shared" si="8"/>
        <v>4582.4387574855809</v>
      </c>
      <c r="O75" s="286">
        <f t="shared" si="8"/>
        <v>4982.4038530552571</v>
      </c>
      <c r="P75" s="286">
        <f t="shared" si="8"/>
        <v>10192.297491190002</v>
      </c>
      <c r="Q75" s="286">
        <f t="shared" si="8"/>
        <v>10317.016</v>
      </c>
      <c r="R75" s="286">
        <f t="shared" si="8"/>
        <v>9882.6779999999999</v>
      </c>
      <c r="S75" s="286">
        <f t="shared" si="8"/>
        <v>10818.499</v>
      </c>
      <c r="T75" s="286">
        <f t="shared" si="8"/>
        <v>10477.833000000001</v>
      </c>
      <c r="U75" s="286">
        <f t="shared" si="8"/>
        <v>10419.485550109999</v>
      </c>
      <c r="V75" s="286">
        <f t="shared" si="8"/>
        <v>10731.998115579998</v>
      </c>
      <c r="W75" s="286">
        <f t="shared" si="8"/>
        <v>10571.999666666667</v>
      </c>
      <c r="X75" s="286">
        <f t="shared" si="8"/>
        <v>10055.983999999999</v>
      </c>
      <c r="Y75" s="286">
        <f t="shared" si="8"/>
        <v>9921.4270000000015</v>
      </c>
      <c r="Z75" s="286">
        <f t="shared" si="8"/>
        <v>9655.4770000000008</v>
      </c>
      <c r="AA75" s="286">
        <f t="shared" si="8"/>
        <v>9235.0590000000011</v>
      </c>
      <c r="AB75" s="286">
        <f t="shared" si="8"/>
        <v>9774.8809999999994</v>
      </c>
      <c r="AC75" s="286">
        <f t="shared" si="8"/>
        <v>9954.6479999999974</v>
      </c>
      <c r="AD75" s="286">
        <v>9688.8728625900003</v>
      </c>
      <c r="AE75" s="286">
        <v>9965.9981155200021</v>
      </c>
      <c r="AF75" s="286">
        <f>+AF39+AF52+AF64</f>
        <v>10000.011074299993</v>
      </c>
      <c r="AG75" s="286">
        <f>+AG39+AG52+AG64</f>
        <v>10090.277</v>
      </c>
      <c r="AH75" s="286">
        <f>+AH39+AH52+AH64</f>
        <v>10173.712</v>
      </c>
      <c r="AI75" s="286">
        <f>+AI39+AI52+AI64</f>
        <v>10556.008</v>
      </c>
      <c r="AJ75" s="286">
        <f>+AJ39+AJ52+AJ64</f>
        <v>10594.313999999998</v>
      </c>
    </row>
    <row r="76" spans="2:36"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  <c r="AG76" s="362"/>
      <c r="AH76" s="362"/>
      <c r="AI76" s="362"/>
      <c r="AJ76" s="362"/>
    </row>
    <row r="77" spans="2:36"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  <c r="AG77" s="362"/>
      <c r="AH77" s="362"/>
      <c r="AI77" s="362"/>
      <c r="AJ77" s="362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R23"/>
  <sheetViews>
    <sheetView showGridLines="0" zoomScale="85" zoomScaleNormal="85" workbookViewId="0">
      <pane xSplit="2" ySplit="4" topLeftCell="AB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6" width="10.7109375" customWidth="1"/>
    <col min="38" max="42" width="11.7109375" customWidth="1"/>
  </cols>
  <sheetData>
    <row r="1" spans="2:44" ht="18.75">
      <c r="B1" s="332" t="s">
        <v>369</v>
      </c>
    </row>
    <row r="2" spans="2:44">
      <c r="B2" s="280" t="s">
        <v>379</v>
      </c>
    </row>
    <row r="3" spans="2:44">
      <c r="B3" s="280"/>
    </row>
    <row r="4" spans="2:44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238</v>
      </c>
      <c r="Q4" s="149" t="s">
        <v>244</v>
      </c>
      <c r="R4" s="149" t="s">
        <v>245</v>
      </c>
      <c r="S4" s="149" t="s">
        <v>247</v>
      </c>
      <c r="T4" s="149" t="s">
        <v>250</v>
      </c>
      <c r="U4" s="149" t="s">
        <v>257</v>
      </c>
      <c r="V4" s="149" t="s">
        <v>260</v>
      </c>
      <c r="W4" s="149" t="s">
        <v>270</v>
      </c>
      <c r="X4" s="149" t="s">
        <v>275</v>
      </c>
      <c r="Y4" s="149" t="s">
        <v>282</v>
      </c>
      <c r="Z4" s="149" t="s">
        <v>287</v>
      </c>
      <c r="AA4" s="149" t="s">
        <v>289</v>
      </c>
      <c r="AB4" s="149" t="s">
        <v>293</v>
      </c>
      <c r="AC4" s="149" t="s">
        <v>311</v>
      </c>
      <c r="AD4" s="149" t="s">
        <v>385</v>
      </c>
      <c r="AE4" s="149" t="s">
        <v>386</v>
      </c>
      <c r="AF4" s="149" t="s">
        <v>387</v>
      </c>
      <c r="AG4" s="149" t="s">
        <v>389</v>
      </c>
      <c r="AH4" s="149" t="s">
        <v>390</v>
      </c>
      <c r="AI4" s="149" t="s">
        <v>391</v>
      </c>
      <c r="AJ4" s="149" t="s">
        <v>392</v>
      </c>
      <c r="AL4" s="149">
        <v>2021</v>
      </c>
      <c r="AM4" s="149">
        <v>2022</v>
      </c>
      <c r="AN4" s="149">
        <v>2023</v>
      </c>
      <c r="AO4" s="259">
        <v>2024</v>
      </c>
      <c r="AP4" s="259">
        <v>2025</v>
      </c>
    </row>
    <row r="5" spans="2:44">
      <c r="B5" s="207" t="s">
        <v>18</v>
      </c>
      <c r="C5" s="324">
        <v>266.846</v>
      </c>
      <c r="D5" s="324">
        <v>282.37900000000002</v>
      </c>
      <c r="E5" s="324">
        <v>257.61400000000003</v>
      </c>
      <c r="F5" s="324">
        <v>295.61800000000005</v>
      </c>
      <c r="G5" s="324">
        <v>282.53399999999999</v>
      </c>
      <c r="H5" s="324">
        <v>285.40099999999995</v>
      </c>
      <c r="I5" s="324">
        <v>293.64999999999998</v>
      </c>
      <c r="J5" s="324">
        <v>319.9140000000001</v>
      </c>
      <c r="K5" s="324">
        <v>338.983</v>
      </c>
      <c r="L5" s="324">
        <v>356.13499999999999</v>
      </c>
      <c r="M5" s="324">
        <v>350.94499999999999</v>
      </c>
      <c r="N5" s="324">
        <v>375.92600000000016</v>
      </c>
      <c r="O5" s="325">
        <v>415.99799999999999</v>
      </c>
      <c r="P5" s="325">
        <v>585.94599999999991</v>
      </c>
      <c r="Q5" s="325">
        <v>816.68100000000004</v>
      </c>
      <c r="R5" s="325">
        <v>848.50599999999986</v>
      </c>
      <c r="S5" s="325">
        <v>902.38</v>
      </c>
      <c r="T5" s="325">
        <v>910.47200000000009</v>
      </c>
      <c r="U5" s="325">
        <v>905.23699999999985</v>
      </c>
      <c r="V5" s="325">
        <v>845.14200000000028</v>
      </c>
      <c r="W5" s="325">
        <v>954.42200000000003</v>
      </c>
      <c r="X5" s="325">
        <v>932.42399999999998</v>
      </c>
      <c r="Y5" s="325">
        <v>940.4079999999999</v>
      </c>
      <c r="Z5" s="325">
        <v>905.68600000000015</v>
      </c>
      <c r="AA5" s="325">
        <v>990.71500000000003</v>
      </c>
      <c r="AB5" s="325">
        <v>977.00200000000007</v>
      </c>
      <c r="AC5" s="325">
        <v>938.279</v>
      </c>
      <c r="AD5" s="325">
        <v>895.38250285999993</v>
      </c>
      <c r="AE5" s="325">
        <v>1040.1220000000001</v>
      </c>
      <c r="AF5" s="325">
        <v>1005.3399999999999</v>
      </c>
      <c r="AG5" s="325">
        <v>1005.915</v>
      </c>
      <c r="AH5" s="325">
        <v>972.32000000000016</v>
      </c>
      <c r="AI5" s="325">
        <v>1120.4027678399993</v>
      </c>
      <c r="AJ5" s="325">
        <v>1050.0492926000006</v>
      </c>
      <c r="AK5" s="326"/>
      <c r="AL5" s="325">
        <f>SUM(O5:R5)</f>
        <v>2667.1309999999999</v>
      </c>
      <c r="AM5" s="325">
        <f>SUM(S5:V5)</f>
        <v>3563.2310000000002</v>
      </c>
      <c r="AN5" s="325">
        <f>SUM(W5:Z5)</f>
        <v>3732.94</v>
      </c>
      <c r="AO5" s="325">
        <v>3801.37850286</v>
      </c>
      <c r="AP5" s="325">
        <f>SUM(AE5:AH5)</f>
        <v>4023.6970000000001</v>
      </c>
      <c r="AQ5" s="316"/>
      <c r="AR5" s="316"/>
    </row>
    <row r="6" spans="2:44">
      <c r="B6" s="327" t="s">
        <v>350</v>
      </c>
      <c r="C6" s="328">
        <v>-140.50899999999999</v>
      </c>
      <c r="D6" s="328">
        <v>-185.18100000000001</v>
      </c>
      <c r="E6" s="328">
        <v>-172.523</v>
      </c>
      <c r="F6" s="328">
        <v>-208.928</v>
      </c>
      <c r="G6" s="328">
        <v>-134.26499999999999</v>
      </c>
      <c r="H6" s="328">
        <v>-176.24600000000004</v>
      </c>
      <c r="I6" s="328">
        <v>-168.27199999999999</v>
      </c>
      <c r="J6" s="328">
        <v>-192.80099999999993</v>
      </c>
      <c r="K6" s="328">
        <v>-149.24600000000001</v>
      </c>
      <c r="L6" s="328">
        <v>-175.83799999999999</v>
      </c>
      <c r="M6" s="328">
        <v>-172.05</v>
      </c>
      <c r="N6" s="328">
        <v>-186.404</v>
      </c>
      <c r="O6" s="329">
        <v>-180.41499999999999</v>
      </c>
      <c r="P6" s="329">
        <v>-248.27</v>
      </c>
      <c r="Q6" s="329">
        <v>-365.27199999999999</v>
      </c>
      <c r="R6" s="329">
        <v>-455.98699999999997</v>
      </c>
      <c r="S6" s="329">
        <v>-314.226</v>
      </c>
      <c r="T6" s="329">
        <v>-387.88800000000003</v>
      </c>
      <c r="U6" s="329">
        <v>-377.88300000000004</v>
      </c>
      <c r="V6" s="329">
        <v>-428.84399999999982</v>
      </c>
      <c r="W6" s="329">
        <v>-320.44299999999998</v>
      </c>
      <c r="X6" s="329">
        <v>-422.01700000000005</v>
      </c>
      <c r="Y6" s="329">
        <v>-372.31799999999998</v>
      </c>
      <c r="Z6" s="329">
        <v>-404.03800000000001</v>
      </c>
      <c r="AA6" s="329">
        <v>-316.88</v>
      </c>
      <c r="AB6" s="329">
        <v>-392.95600000000002</v>
      </c>
      <c r="AC6" s="329">
        <v>-385.78100000000001</v>
      </c>
      <c r="AD6" s="329">
        <v>-354.36900000000014</v>
      </c>
      <c r="AE6" s="329">
        <v>-339.137</v>
      </c>
      <c r="AF6" s="329">
        <v>-409.37299999999999</v>
      </c>
      <c r="AG6" s="329">
        <v>-366.57999999999993</v>
      </c>
      <c r="AH6" s="329">
        <v>-375.11400000000003</v>
      </c>
      <c r="AI6" s="329">
        <v>-362.19956915999995</v>
      </c>
      <c r="AJ6" s="329">
        <v>-414.88229860000007</v>
      </c>
      <c r="AL6" s="329">
        <f t="shared" ref="AL6:AL20" si="0">SUM(O6:R6)</f>
        <v>-1249.944</v>
      </c>
      <c r="AM6" s="329">
        <f t="shared" ref="AM6:AM20" si="1">SUM(S6:V6)</f>
        <v>-1508.8409999999999</v>
      </c>
      <c r="AN6" s="329">
        <f t="shared" ref="AN6:AN20" si="2">SUM(W6:Z6)</f>
        <v>-1518.816</v>
      </c>
      <c r="AO6" s="329">
        <v>-1449.9860000000001</v>
      </c>
      <c r="AP6" s="329">
        <f>SUM(AE6:AH6)</f>
        <v>-1490.204</v>
      </c>
      <c r="AQ6" s="316"/>
      <c r="AR6" s="316"/>
    </row>
    <row r="7" spans="2:44">
      <c r="B7" s="207" t="s">
        <v>351</v>
      </c>
      <c r="C7" s="324">
        <v>126.33700000000002</v>
      </c>
      <c r="D7" s="324">
        <v>97.198000000000008</v>
      </c>
      <c r="E7" s="324">
        <v>85.091000000000037</v>
      </c>
      <c r="F7" s="324">
        <v>86.690000000000055</v>
      </c>
      <c r="G7" s="324">
        <v>148.26900000000001</v>
      </c>
      <c r="H7" s="324">
        <v>109.15499999999992</v>
      </c>
      <c r="I7" s="324">
        <v>125.37799999999999</v>
      </c>
      <c r="J7" s="324">
        <v>127.11300000000017</v>
      </c>
      <c r="K7" s="324">
        <v>189.73699999999999</v>
      </c>
      <c r="L7" s="324">
        <v>180.297</v>
      </c>
      <c r="M7" s="324">
        <v>178.89499999999998</v>
      </c>
      <c r="N7" s="324">
        <v>189.52200000000005</v>
      </c>
      <c r="O7" s="325">
        <v>235.583</v>
      </c>
      <c r="P7" s="325">
        <v>337.67600000000004</v>
      </c>
      <c r="Q7" s="325">
        <v>451.40899999999999</v>
      </c>
      <c r="R7" s="325">
        <v>392.51899999999989</v>
      </c>
      <c r="S7" s="325">
        <v>588.154</v>
      </c>
      <c r="T7" s="325">
        <v>522.58400000000006</v>
      </c>
      <c r="U7" s="325">
        <v>527.35399999999981</v>
      </c>
      <c r="V7" s="325">
        <v>416.29800000000046</v>
      </c>
      <c r="W7" s="325">
        <v>633.97900000000004</v>
      </c>
      <c r="X7" s="325">
        <v>510.40699999999993</v>
      </c>
      <c r="Y7" s="325">
        <v>568.08999999999992</v>
      </c>
      <c r="Z7" s="325">
        <v>501.64799999999991</v>
      </c>
      <c r="AA7" s="325">
        <v>673.83500000000004</v>
      </c>
      <c r="AB7" s="325">
        <v>584.04600000000005</v>
      </c>
      <c r="AC7" s="325">
        <v>552.49800000000005</v>
      </c>
      <c r="AD7" s="325">
        <v>541.01350285999956</v>
      </c>
      <c r="AE7" s="325">
        <v>700.98500000000013</v>
      </c>
      <c r="AF7" s="325">
        <v>595.96699999999987</v>
      </c>
      <c r="AG7" s="325">
        <v>639.33500000000004</v>
      </c>
      <c r="AH7" s="325">
        <v>597.20600000000036</v>
      </c>
      <c r="AI7" s="325">
        <v>758.20319867999933</v>
      </c>
      <c r="AJ7" s="325">
        <v>635.1669940000005</v>
      </c>
      <c r="AL7" s="325">
        <f t="shared" si="0"/>
        <v>1417.1869999999999</v>
      </c>
      <c r="AM7" s="325">
        <f t="shared" si="1"/>
        <v>2054.3900000000003</v>
      </c>
      <c r="AN7" s="325">
        <f t="shared" si="2"/>
        <v>2214.1239999999998</v>
      </c>
      <c r="AO7" s="325">
        <f>SUM(AO5:AO6)</f>
        <v>2351.3925028599997</v>
      </c>
      <c r="AP7" s="325">
        <f>SUM(AP5:AP6)</f>
        <v>2533.4930000000004</v>
      </c>
      <c r="AQ7" s="316"/>
      <c r="AR7" s="316"/>
    </row>
    <row r="8" spans="2:44">
      <c r="B8" s="207" t="s">
        <v>352</v>
      </c>
      <c r="C8" s="324">
        <v>-79.526999999999987</v>
      </c>
      <c r="D8" s="324">
        <v>-88.15</v>
      </c>
      <c r="E8" s="324">
        <v>-93.695999999999984</v>
      </c>
      <c r="F8" s="324">
        <v>-95.286999999999992</v>
      </c>
      <c r="G8" s="324">
        <v>-85.153999999999996</v>
      </c>
      <c r="H8" s="324">
        <v>-91.352000000000004</v>
      </c>
      <c r="I8" s="324">
        <v>-95.787999999999997</v>
      </c>
      <c r="J8" s="324">
        <v>-117.65100000000004</v>
      </c>
      <c r="K8" s="324">
        <v>-173.38900000000001</v>
      </c>
      <c r="L8" s="324">
        <v>-131.899</v>
      </c>
      <c r="M8" s="324">
        <v>-139.68100000000001</v>
      </c>
      <c r="N8" s="324">
        <v>-175.30299999999988</v>
      </c>
      <c r="O8" s="325">
        <v>-142.74800000000002</v>
      </c>
      <c r="P8" s="325">
        <v>-270.774</v>
      </c>
      <c r="Q8" s="325">
        <v>-308.25499999999994</v>
      </c>
      <c r="R8" s="325">
        <v>-397.96304229000009</v>
      </c>
      <c r="S8" s="325">
        <v>-402.95829864000001</v>
      </c>
      <c r="T8" s="325">
        <v>-415.50669531</v>
      </c>
      <c r="U8" s="325">
        <v>-412.40000605</v>
      </c>
      <c r="V8" s="325">
        <v>-445.423</v>
      </c>
      <c r="W8" s="325">
        <v>-476.76499999999999</v>
      </c>
      <c r="X8" s="325">
        <v>-379.34599999999989</v>
      </c>
      <c r="Y8" s="325">
        <v>-424.77300000000014</v>
      </c>
      <c r="Z8" s="325">
        <v>-408.33799999999997</v>
      </c>
      <c r="AA8" s="325">
        <v>-427.67133654999992</v>
      </c>
      <c r="AB8" s="325">
        <v>-385.99966345000001</v>
      </c>
      <c r="AC8" s="325">
        <v>-370.87099999999998</v>
      </c>
      <c r="AD8" s="325">
        <v>-346.75200000000018</v>
      </c>
      <c r="AE8" s="325">
        <v>-396.35599999999994</v>
      </c>
      <c r="AF8" s="325">
        <v>-367.29599999999999</v>
      </c>
      <c r="AG8" s="325">
        <v>-386.11200000000019</v>
      </c>
      <c r="AH8" s="325">
        <v>-381.71199999999976</v>
      </c>
      <c r="AI8" s="325">
        <v>-432.56513940798544</v>
      </c>
      <c r="AJ8" s="325">
        <v>-361.11088026219664</v>
      </c>
      <c r="AL8" s="325">
        <f t="shared" si="0"/>
        <v>-1119.74004229</v>
      </c>
      <c r="AM8" s="325">
        <f t="shared" si="1"/>
        <v>-1676.288</v>
      </c>
      <c r="AN8" s="325">
        <f t="shared" si="2"/>
        <v>-1689.222</v>
      </c>
      <c r="AO8" s="325">
        <f>SUM(AO9:AO12)</f>
        <v>-1531.2940000000001</v>
      </c>
      <c r="AP8" s="325">
        <f>SUM(AP9:AP12)</f>
        <v>-1531.4759999999999</v>
      </c>
      <c r="AQ8" s="316"/>
    </row>
    <row r="9" spans="2:44">
      <c r="B9" s="327" t="s">
        <v>353</v>
      </c>
      <c r="C9" s="328">
        <v>-21.645</v>
      </c>
      <c r="D9" s="328">
        <v>-23.050999999999998</v>
      </c>
      <c r="E9" s="328">
        <v>-19.184000000000005</v>
      </c>
      <c r="F9" s="328">
        <v>-32.783999999999999</v>
      </c>
      <c r="G9" s="328">
        <v>-25.378</v>
      </c>
      <c r="H9" s="328">
        <v>-24.545999999999999</v>
      </c>
      <c r="I9" s="328">
        <v>-26.053999999999998</v>
      </c>
      <c r="J9" s="328">
        <v>-34.00500000000001</v>
      </c>
      <c r="K9" s="328">
        <v>-32.680999999999997</v>
      </c>
      <c r="L9" s="328">
        <v>-43.954000000000001</v>
      </c>
      <c r="M9" s="328">
        <v>-32.277000000000001</v>
      </c>
      <c r="N9" s="328">
        <v>-58.374000000000009</v>
      </c>
      <c r="O9" s="329">
        <v>-36.884</v>
      </c>
      <c r="P9" s="329">
        <v>-62.08</v>
      </c>
      <c r="Q9" s="329">
        <v>-58.372999999999998</v>
      </c>
      <c r="R9" s="329">
        <v>-151.99704229000002</v>
      </c>
      <c r="S9" s="329">
        <v>-111.41129864</v>
      </c>
      <c r="T9" s="329">
        <v>-119.44269531000002</v>
      </c>
      <c r="U9" s="329">
        <v>-85.374006049999991</v>
      </c>
      <c r="V9" s="329">
        <v>-111.38900000000001</v>
      </c>
      <c r="W9" s="329">
        <v>-122.08099999999999</v>
      </c>
      <c r="X9" s="329">
        <v>-105.98800000000003</v>
      </c>
      <c r="Y9" s="329">
        <v>-130.721</v>
      </c>
      <c r="Z9" s="329">
        <v>-105.23799999999994</v>
      </c>
      <c r="AA9" s="329">
        <v>-153.03361655</v>
      </c>
      <c r="AB9" s="329">
        <v>-104.63438345</v>
      </c>
      <c r="AC9" s="329">
        <v>-114.13800000000001</v>
      </c>
      <c r="AD9" s="329">
        <v>-97.391999999999996</v>
      </c>
      <c r="AE9" s="329">
        <v>-151.11699999999999</v>
      </c>
      <c r="AF9" s="329">
        <v>-92.371000000000009</v>
      </c>
      <c r="AG9" s="329">
        <v>-100.286</v>
      </c>
      <c r="AH9" s="329">
        <v>-133.53200000000004</v>
      </c>
      <c r="AI9" s="329">
        <v>-173.79740548000001</v>
      </c>
      <c r="AJ9" s="329">
        <v>-106.35420157999999</v>
      </c>
      <c r="AL9" s="329">
        <f t="shared" si="0"/>
        <v>-309.33404229000001</v>
      </c>
      <c r="AM9" s="329">
        <f t="shared" si="1"/>
        <v>-427.61700000000002</v>
      </c>
      <c r="AN9" s="329">
        <f t="shared" si="2"/>
        <v>-464.02799999999996</v>
      </c>
      <c r="AO9" s="329">
        <f>-290.672-178.526</f>
        <v>-469.19800000000004</v>
      </c>
      <c r="AP9" s="329">
        <f t="shared" ref="AP9:AP12" si="3">SUM(AE9:AH9)</f>
        <v>-477.30600000000004</v>
      </c>
      <c r="AQ9" s="316"/>
      <c r="AR9" s="316"/>
    </row>
    <row r="10" spans="2:44">
      <c r="B10" s="327" t="s">
        <v>354</v>
      </c>
      <c r="C10" s="328">
        <v>-58.287999999999997</v>
      </c>
      <c r="D10" s="328">
        <v>-66.918999999999997</v>
      </c>
      <c r="E10" s="328">
        <v>-70.790999999999997</v>
      </c>
      <c r="F10" s="328">
        <v>-63.262</v>
      </c>
      <c r="G10" s="328">
        <v>-61.418999999999997</v>
      </c>
      <c r="H10" s="328">
        <v>-67.174999999999997</v>
      </c>
      <c r="I10" s="328">
        <v>-69.058999999999997</v>
      </c>
      <c r="J10" s="328">
        <v>-84.245000000000033</v>
      </c>
      <c r="K10" s="328">
        <v>-75.334999999999994</v>
      </c>
      <c r="L10" s="328">
        <v>-79.42</v>
      </c>
      <c r="M10" s="328">
        <v>-88.656999999999996</v>
      </c>
      <c r="N10" s="328">
        <v>-94.859000000000037</v>
      </c>
      <c r="O10" s="329">
        <v>-99.942999999999998</v>
      </c>
      <c r="P10" s="329">
        <v>-192.17600000000004</v>
      </c>
      <c r="Q10" s="329">
        <v>-299.55899999999997</v>
      </c>
      <c r="R10" s="329">
        <v>-272.61500000000001</v>
      </c>
      <c r="S10" s="329">
        <v>-271.76100000000002</v>
      </c>
      <c r="T10" s="329">
        <v>-280.22199999999992</v>
      </c>
      <c r="U10" s="329">
        <v>-324.94100000000003</v>
      </c>
      <c r="V10" s="329">
        <v>-325.58999999999992</v>
      </c>
      <c r="W10" s="329">
        <v>-310.61700000000002</v>
      </c>
      <c r="X10" s="329">
        <v>-301.27799999999996</v>
      </c>
      <c r="Y10" s="329">
        <v>-274.11400000000003</v>
      </c>
      <c r="Z10" s="329">
        <v>-254.39499999999998</v>
      </c>
      <c r="AA10" s="329">
        <v>-257.392</v>
      </c>
      <c r="AB10" s="329">
        <v>-272.24299999999999</v>
      </c>
      <c r="AC10" s="329">
        <v>-235.685</v>
      </c>
      <c r="AD10" s="329">
        <v>-277.98</v>
      </c>
      <c r="AE10" s="329">
        <v>-242</v>
      </c>
      <c r="AF10" s="329">
        <v>-260.74400000000003</v>
      </c>
      <c r="AG10" s="329">
        <v>-269.00299999999993</v>
      </c>
      <c r="AH10" s="329">
        <v>-270.07000000000005</v>
      </c>
      <c r="AI10" s="329">
        <v>-257.46946029999998</v>
      </c>
      <c r="AJ10" s="329">
        <v>-260.93622769000007</v>
      </c>
      <c r="AL10" s="329">
        <f t="shared" si="0"/>
        <v>-864.29300000000001</v>
      </c>
      <c r="AM10" s="329">
        <f t="shared" si="1"/>
        <v>-1202.5139999999999</v>
      </c>
      <c r="AN10" s="329">
        <f t="shared" si="2"/>
        <v>-1140.404</v>
      </c>
      <c r="AO10" s="329">
        <v>-1043.3</v>
      </c>
      <c r="AP10" s="329">
        <f t="shared" si="3"/>
        <v>-1041.817</v>
      </c>
      <c r="AQ10" s="316"/>
      <c r="AR10" s="316"/>
    </row>
    <row r="11" spans="2:44">
      <c r="B11" s="327" t="s">
        <v>355</v>
      </c>
      <c r="C11" s="328">
        <v>-0.32900000000000001</v>
      </c>
      <c r="D11" s="328">
        <v>-0.56100000000000005</v>
      </c>
      <c r="E11" s="328">
        <v>-0.39500000000000002</v>
      </c>
      <c r="F11" s="328">
        <v>-1.2629999999999999</v>
      </c>
      <c r="G11" s="328">
        <v>-0.51</v>
      </c>
      <c r="H11" s="328">
        <v>-0.78300000000000003</v>
      </c>
      <c r="I11" s="328">
        <v>-0.57599999999999996</v>
      </c>
      <c r="J11" s="328">
        <v>-0.59399999999999986</v>
      </c>
      <c r="K11" s="328">
        <v>-0.57399999999999995</v>
      </c>
      <c r="L11" s="328">
        <v>-1.2709999999999999</v>
      </c>
      <c r="M11" s="328">
        <v>-1.194</v>
      </c>
      <c r="N11" s="328">
        <v>-0.54600000000000026</v>
      </c>
      <c r="O11" s="329">
        <v>0.24199999999999999</v>
      </c>
      <c r="P11" s="329">
        <v>-0.55200000000000005</v>
      </c>
      <c r="Q11" s="329">
        <v>0.35</v>
      </c>
      <c r="R11" s="329">
        <v>-0.58400000000000007</v>
      </c>
      <c r="S11" s="329">
        <v>-4.2469999999999999</v>
      </c>
      <c r="T11" s="329">
        <v>-4.3830000000000009</v>
      </c>
      <c r="U11" s="329">
        <v>0.18700000000000117</v>
      </c>
      <c r="V11" s="329">
        <v>-5.8990000000000009</v>
      </c>
      <c r="W11" s="329">
        <v>-2.1539999999999999</v>
      </c>
      <c r="X11" s="329">
        <v>-1.6259999999999999</v>
      </c>
      <c r="Y11" s="329">
        <v>-0.81800000000000006</v>
      </c>
      <c r="Z11" s="329">
        <v>-2.2940000000000005</v>
      </c>
      <c r="AA11" s="329">
        <v>-8.292720000000001</v>
      </c>
      <c r="AB11" s="329">
        <v>-1.1742799999999995</v>
      </c>
      <c r="AC11" s="329">
        <v>-1.032</v>
      </c>
      <c r="AD11" s="329">
        <v>-1.270999999999999</v>
      </c>
      <c r="AE11" s="329">
        <v>-1.036</v>
      </c>
      <c r="AF11" s="329">
        <v>-1.6029999999999998</v>
      </c>
      <c r="AG11" s="329">
        <v>-1.2040000000000002</v>
      </c>
      <c r="AH11" s="329">
        <v>-5.0359999999999996</v>
      </c>
      <c r="AI11" s="329">
        <v>-0.49517345999999995</v>
      </c>
      <c r="AJ11" s="329">
        <v>-1.6011768299999998</v>
      </c>
      <c r="AL11" s="329">
        <f t="shared" si="0"/>
        <v>-0.54400000000000015</v>
      </c>
      <c r="AM11" s="329">
        <f t="shared" si="1"/>
        <v>-14.342000000000001</v>
      </c>
      <c r="AN11" s="329">
        <f t="shared" si="2"/>
        <v>-6.8920000000000003</v>
      </c>
      <c r="AO11" s="329">
        <v>-11.77</v>
      </c>
      <c r="AP11" s="329">
        <f t="shared" si="3"/>
        <v>-8.8789999999999996</v>
      </c>
      <c r="AQ11" s="316"/>
    </row>
    <row r="12" spans="2:44">
      <c r="B12" s="327" t="s">
        <v>356</v>
      </c>
      <c r="C12" s="328">
        <v>0.73499999999999999</v>
      </c>
      <c r="D12" s="328">
        <v>2.3809999999999998</v>
      </c>
      <c r="E12" s="328">
        <v>-3.3260000000000001</v>
      </c>
      <c r="F12" s="328">
        <v>2.0220000000000002</v>
      </c>
      <c r="G12" s="328">
        <v>2.153</v>
      </c>
      <c r="H12" s="328">
        <v>1.1519999999999999</v>
      </c>
      <c r="I12" s="328">
        <v>-9.9000000000000005E-2</v>
      </c>
      <c r="J12" s="328">
        <v>1.1930000000000005</v>
      </c>
      <c r="K12" s="328">
        <v>-64.799000000000007</v>
      </c>
      <c r="L12" s="328">
        <v>-7.2539999999999996</v>
      </c>
      <c r="M12" s="328">
        <v>-17.553000000000001</v>
      </c>
      <c r="N12" s="328">
        <v>-21.523999999999987</v>
      </c>
      <c r="O12" s="329">
        <v>-6.1630000000000003</v>
      </c>
      <c r="P12" s="329">
        <v>-15.966000000000001</v>
      </c>
      <c r="Q12" s="329">
        <v>49.326999999999998</v>
      </c>
      <c r="R12" s="329">
        <v>27.233000000000001</v>
      </c>
      <c r="S12" s="329">
        <v>-15.539</v>
      </c>
      <c r="T12" s="329">
        <v>-11.459000000000001</v>
      </c>
      <c r="U12" s="329">
        <v>-2.2719999999999985</v>
      </c>
      <c r="V12" s="329">
        <v>-2.5450000000000017</v>
      </c>
      <c r="W12" s="329">
        <v>-41.912999999999997</v>
      </c>
      <c r="X12" s="329">
        <v>29.545999999999996</v>
      </c>
      <c r="Y12" s="329">
        <v>-19.119999999999997</v>
      </c>
      <c r="Z12" s="329">
        <v>-46.411000000000001</v>
      </c>
      <c r="AA12" s="329">
        <v>-8.9529999999999994</v>
      </c>
      <c r="AB12" s="329">
        <v>-7.9480000000000004</v>
      </c>
      <c r="AC12" s="329">
        <v>-20.015999999999998</v>
      </c>
      <c r="AD12" s="329">
        <v>29.891000000000002</v>
      </c>
      <c r="AE12" s="329">
        <v>-2.2029999999999998</v>
      </c>
      <c r="AF12" s="329">
        <v>-12.578000000000001</v>
      </c>
      <c r="AG12" s="329">
        <v>-15.618999999999998</v>
      </c>
      <c r="AH12" s="329">
        <v>26.925999999999998</v>
      </c>
      <c r="AI12" s="329">
        <v>-0.80310016798548023</v>
      </c>
      <c r="AJ12" s="329">
        <v>7.780725837803435</v>
      </c>
      <c r="AL12" s="329">
        <f t="shared" si="0"/>
        <v>54.430999999999997</v>
      </c>
      <c r="AM12" s="329">
        <f t="shared" si="1"/>
        <v>-31.815000000000001</v>
      </c>
      <c r="AN12" s="329">
        <f t="shared" si="2"/>
        <v>-77.897999999999996</v>
      </c>
      <c r="AO12" s="329">
        <v>-7.0259999999999998</v>
      </c>
      <c r="AP12" s="329">
        <f t="shared" si="3"/>
        <v>-3.4740000000000002</v>
      </c>
      <c r="AQ12" s="316"/>
      <c r="AR12" s="316"/>
    </row>
    <row r="13" spans="2:44">
      <c r="B13" s="207" t="s">
        <v>357</v>
      </c>
      <c r="C13" s="324">
        <v>46.810000000000031</v>
      </c>
      <c r="D13" s="324">
        <v>9.0480000000000018</v>
      </c>
      <c r="E13" s="324">
        <v>-8.6049999999999471</v>
      </c>
      <c r="F13" s="324">
        <v>-8.5969999999999374</v>
      </c>
      <c r="G13" s="324">
        <v>63.115000000000009</v>
      </c>
      <c r="H13" s="324">
        <v>17.802999999999912</v>
      </c>
      <c r="I13" s="324">
        <v>29.589999999999989</v>
      </c>
      <c r="J13" s="324">
        <v>9.4620000000001312</v>
      </c>
      <c r="K13" s="324">
        <v>16.347999999999985</v>
      </c>
      <c r="L13" s="324">
        <v>48.397999999999996</v>
      </c>
      <c r="M13" s="324">
        <v>39.21399999999997</v>
      </c>
      <c r="N13" s="324">
        <v>14.219000000000136</v>
      </c>
      <c r="O13" s="325">
        <v>92.83499999999998</v>
      </c>
      <c r="P13" s="325">
        <v>66.901999999999987</v>
      </c>
      <c r="Q13" s="325">
        <v>143.15400000000005</v>
      </c>
      <c r="R13" s="325">
        <v>-5.4440422900001977</v>
      </c>
      <c r="S13" s="325">
        <v>185.19570135999999</v>
      </c>
      <c r="T13" s="325">
        <v>107.07730469000006</v>
      </c>
      <c r="U13" s="325">
        <v>114.95399394999981</v>
      </c>
      <c r="V13" s="325">
        <v>-29.124999999999545</v>
      </c>
      <c r="W13" s="325">
        <v>157.21400000000006</v>
      </c>
      <c r="X13" s="325">
        <v>131.06100000000004</v>
      </c>
      <c r="Y13" s="325">
        <v>143.31699999999978</v>
      </c>
      <c r="Z13" s="325">
        <v>93.309999999999945</v>
      </c>
      <c r="AA13" s="325">
        <v>246.16366345000012</v>
      </c>
      <c r="AB13" s="325">
        <v>198.04633655000004</v>
      </c>
      <c r="AC13" s="325">
        <v>181.62700000000007</v>
      </c>
      <c r="AD13" s="325">
        <v>194.26150285999938</v>
      </c>
      <c r="AE13" s="325">
        <v>304.62900000000019</v>
      </c>
      <c r="AF13" s="325">
        <v>228.67099999999988</v>
      </c>
      <c r="AG13" s="325">
        <v>253.22299999999984</v>
      </c>
      <c r="AH13" s="325">
        <v>215.4940000000006</v>
      </c>
      <c r="AI13" s="325">
        <v>325.63805927201389</v>
      </c>
      <c r="AJ13" s="325">
        <v>274.05611373780386</v>
      </c>
      <c r="AL13" s="325">
        <f t="shared" si="0"/>
        <v>297.44695770999982</v>
      </c>
      <c r="AM13" s="325">
        <f t="shared" si="1"/>
        <v>378.10200000000032</v>
      </c>
      <c r="AN13" s="325">
        <f t="shared" si="2"/>
        <v>524.90199999999982</v>
      </c>
      <c r="AO13" s="325">
        <f>SUM(AO7:AO8)</f>
        <v>820.0985028599996</v>
      </c>
      <c r="AP13" s="325">
        <f>SUM(AP7:AP8)</f>
        <v>1002.0170000000005</v>
      </c>
      <c r="AQ13" s="316"/>
      <c r="AR13" s="316"/>
    </row>
    <row r="14" spans="2:44">
      <c r="B14" s="327" t="s">
        <v>358</v>
      </c>
      <c r="C14" s="328">
        <v>8.0050000000000008</v>
      </c>
      <c r="D14" s="328">
        <v>12.259</v>
      </c>
      <c r="E14" s="328">
        <v>16.129000000000001</v>
      </c>
      <c r="F14" s="328">
        <v>2.8049999999999997</v>
      </c>
      <c r="G14" s="328">
        <v>11.167</v>
      </c>
      <c r="H14" s="328">
        <v>6.109</v>
      </c>
      <c r="I14" s="328">
        <v>8.3859999999999992</v>
      </c>
      <c r="J14" s="328">
        <v>1.463000000000001</v>
      </c>
      <c r="K14" s="328">
        <v>6.8150000000000004</v>
      </c>
      <c r="L14" s="328">
        <v>10.362</v>
      </c>
      <c r="M14" s="328">
        <v>15.718999999999999</v>
      </c>
      <c r="N14" s="328">
        <v>12.689</v>
      </c>
      <c r="O14" s="329">
        <v>13.042</v>
      </c>
      <c r="P14" s="329">
        <v>44.557000000000002</v>
      </c>
      <c r="Q14" s="329">
        <v>21.295999999999999</v>
      </c>
      <c r="R14" s="329">
        <v>22.794000000000004</v>
      </c>
      <c r="S14" s="329">
        <v>23.454000000000001</v>
      </c>
      <c r="T14" s="329">
        <v>40.841000000000001</v>
      </c>
      <c r="U14" s="329">
        <v>51.421999999999997</v>
      </c>
      <c r="V14" s="329">
        <v>49.248000000000005</v>
      </c>
      <c r="W14" s="329">
        <v>49.627000000000002</v>
      </c>
      <c r="X14" s="329">
        <v>50.768999999999998</v>
      </c>
      <c r="Y14" s="329">
        <v>33.86399999999999</v>
      </c>
      <c r="Z14" s="329">
        <v>34.268000000000001</v>
      </c>
      <c r="AA14" s="329">
        <v>40.896999999999998</v>
      </c>
      <c r="AB14" s="329">
        <v>30.997000000000007</v>
      </c>
      <c r="AC14" s="329">
        <v>51.911000000000001</v>
      </c>
      <c r="AD14" s="329">
        <v>46.191957729999984</v>
      </c>
      <c r="AE14" s="329">
        <v>53.776000000000003</v>
      </c>
      <c r="AF14" s="329">
        <v>53.892999999999994</v>
      </c>
      <c r="AG14" s="329">
        <v>75.393000000000015</v>
      </c>
      <c r="AH14" s="329">
        <v>69.415999999999997</v>
      </c>
      <c r="AI14" s="329">
        <v>74.022548489999991</v>
      </c>
      <c r="AJ14" s="329">
        <v>61.552832849999987</v>
      </c>
      <c r="AL14" s="329">
        <f t="shared" si="0"/>
        <v>101.68900000000002</v>
      </c>
      <c r="AM14" s="329">
        <f t="shared" si="1"/>
        <v>164.965</v>
      </c>
      <c r="AN14" s="329">
        <f t="shared" si="2"/>
        <v>168.52799999999999</v>
      </c>
      <c r="AO14" s="329">
        <v>169.99695772999999</v>
      </c>
      <c r="AP14" s="329">
        <f t="shared" ref="AP14:AP15" si="4">SUM(AE14:AH14)</f>
        <v>252.47800000000001</v>
      </c>
      <c r="AQ14" s="316"/>
      <c r="AR14" s="316"/>
    </row>
    <row r="15" spans="2:44">
      <c r="B15" s="327" t="s">
        <v>359</v>
      </c>
      <c r="C15" s="328">
        <v>-13.122</v>
      </c>
      <c r="D15" s="328">
        <v>-22.376000000000001</v>
      </c>
      <c r="E15" s="328">
        <v>-22.401</v>
      </c>
      <c r="F15" s="328">
        <v>-15.986000000000004</v>
      </c>
      <c r="G15" s="328">
        <v>-36.286000000000001</v>
      </c>
      <c r="H15" s="328">
        <v>-38.911000000000001</v>
      </c>
      <c r="I15" s="328">
        <v>-38.56</v>
      </c>
      <c r="J15" s="328">
        <v>-39.659999999999997</v>
      </c>
      <c r="K15" s="328">
        <v>-41.286000000000001</v>
      </c>
      <c r="L15" s="328">
        <v>-47.715000000000003</v>
      </c>
      <c r="M15" s="328">
        <v>-52.453000000000003</v>
      </c>
      <c r="N15" s="328">
        <v>-58.655000000000001</v>
      </c>
      <c r="O15" s="329">
        <v>-53.999000000000002</v>
      </c>
      <c r="P15" s="329">
        <v>-129.19300000000001</v>
      </c>
      <c r="Q15" s="329">
        <v>-165.87799999999999</v>
      </c>
      <c r="R15" s="329">
        <v>-182.54699999999997</v>
      </c>
      <c r="S15" s="329">
        <v>-298.43900000000002</v>
      </c>
      <c r="T15" s="329">
        <v>-213.32599999999996</v>
      </c>
      <c r="U15" s="329">
        <v>-221.37599999999998</v>
      </c>
      <c r="V15" s="329">
        <v>-225.87600000000009</v>
      </c>
      <c r="W15" s="329">
        <v>-251.61699999999999</v>
      </c>
      <c r="X15" s="329">
        <v>-239.864</v>
      </c>
      <c r="Y15" s="329">
        <v>-193.88700000000006</v>
      </c>
      <c r="Z15" s="329">
        <v>-225.9369999999999</v>
      </c>
      <c r="AA15" s="329">
        <v>-190.09299999999999</v>
      </c>
      <c r="AB15" s="329">
        <v>-225.126</v>
      </c>
      <c r="AC15" s="329">
        <v>-195.22399999999999</v>
      </c>
      <c r="AD15" s="329">
        <v>-193.58529740999995</v>
      </c>
      <c r="AE15" s="329">
        <v>-224.95500000000001</v>
      </c>
      <c r="AF15" s="329">
        <v>-242.79499999999999</v>
      </c>
      <c r="AG15" s="329">
        <v>-258.02</v>
      </c>
      <c r="AH15" s="329">
        <v>-275.86599999999999</v>
      </c>
      <c r="AI15" s="329">
        <v>-259.36749831000003</v>
      </c>
      <c r="AJ15" s="329">
        <v>-268.39916479999994</v>
      </c>
      <c r="AL15" s="329">
        <f t="shared" si="0"/>
        <v>-531.61699999999996</v>
      </c>
      <c r="AM15" s="329">
        <f t="shared" si="1"/>
        <v>-959.01700000000005</v>
      </c>
      <c r="AN15" s="329">
        <f t="shared" si="2"/>
        <v>-911.30499999999995</v>
      </c>
      <c r="AO15" s="329">
        <v>-804.02829740999994</v>
      </c>
      <c r="AP15" s="329">
        <f t="shared" si="4"/>
        <v>-1001.636</v>
      </c>
      <c r="AQ15" s="316"/>
      <c r="AR15" s="316"/>
    </row>
    <row r="16" spans="2:44">
      <c r="B16" s="207" t="s">
        <v>360</v>
      </c>
      <c r="C16" s="324">
        <v>41.693000000000033</v>
      </c>
      <c r="D16" s="324">
        <v>-1.0689999999999991</v>
      </c>
      <c r="E16" s="324">
        <v>-14.876999999999946</v>
      </c>
      <c r="F16" s="324">
        <v>-21.777999999999942</v>
      </c>
      <c r="G16" s="324">
        <v>37.996000000000009</v>
      </c>
      <c r="H16" s="324">
        <v>-14.999000000000088</v>
      </c>
      <c r="I16" s="324">
        <v>-0.58400000000001739</v>
      </c>
      <c r="J16" s="324">
        <v>-28.734999999999864</v>
      </c>
      <c r="K16" s="324">
        <v>-18.123000000000015</v>
      </c>
      <c r="L16" s="324">
        <v>11.044999999999995</v>
      </c>
      <c r="M16" s="324">
        <v>2.4799999999999685</v>
      </c>
      <c r="N16" s="324">
        <v>-31.746999999999865</v>
      </c>
      <c r="O16" s="325">
        <v>51.877999999999986</v>
      </c>
      <c r="P16" s="325">
        <v>-17.734000000000037</v>
      </c>
      <c r="Q16" s="325">
        <v>-1.4279999999999404</v>
      </c>
      <c r="R16" s="325">
        <v>-165.19704229000024</v>
      </c>
      <c r="S16" s="325">
        <v>-89.789298640000027</v>
      </c>
      <c r="T16" s="325">
        <v>-65.407695309999895</v>
      </c>
      <c r="U16" s="325">
        <v>-55.000006050000195</v>
      </c>
      <c r="V16" s="325">
        <v>-205.75299999999959</v>
      </c>
      <c r="W16" s="325">
        <v>-44.775999999999925</v>
      </c>
      <c r="X16" s="325">
        <v>-58.033999999999963</v>
      </c>
      <c r="Y16" s="325">
        <v>-16.706000000000301</v>
      </c>
      <c r="Z16" s="325">
        <v>-98.358999999999924</v>
      </c>
      <c r="AA16" s="325">
        <v>96.967663450000117</v>
      </c>
      <c r="AB16" s="325">
        <v>3.9173365500000443</v>
      </c>
      <c r="AC16" s="325">
        <v>38.314000000000078</v>
      </c>
      <c r="AD16" s="325">
        <v>46.868163179999385</v>
      </c>
      <c r="AE16" s="325">
        <v>133.45000000000019</v>
      </c>
      <c r="AF16" s="325">
        <v>39.768999999999863</v>
      </c>
      <c r="AG16" s="325">
        <v>70.59599999999989</v>
      </c>
      <c r="AH16" s="325">
        <v>9.0440000000006648</v>
      </c>
      <c r="AI16" s="325">
        <v>140.29310945201388</v>
      </c>
      <c r="AJ16" s="325">
        <v>67.209781787804133</v>
      </c>
      <c r="AL16" s="325">
        <f t="shared" si="0"/>
        <v>-132.48104229000023</v>
      </c>
      <c r="AM16" s="325">
        <f t="shared" si="1"/>
        <v>-415.9499999999997</v>
      </c>
      <c r="AN16" s="325">
        <f t="shared" si="2"/>
        <v>-217.87500000000011</v>
      </c>
      <c r="AO16" s="325">
        <f>SUM(AO13:AO15)</f>
        <v>186.06716317999962</v>
      </c>
      <c r="AP16" s="325">
        <f>SUM(AP13:AP15)</f>
        <v>252.85900000000061</v>
      </c>
      <c r="AQ16" s="316"/>
      <c r="AR16" s="316"/>
    </row>
    <row r="17" spans="2:44">
      <c r="B17" s="327" t="s">
        <v>361</v>
      </c>
      <c r="C17" s="328">
        <v>-1.7529999999999999</v>
      </c>
      <c r="D17" s="328">
        <v>-1.907</v>
      </c>
      <c r="E17" s="328">
        <v>-1.778</v>
      </c>
      <c r="F17" s="328">
        <v>3.7200000000000006</v>
      </c>
      <c r="G17" s="328">
        <v>0.128</v>
      </c>
      <c r="H17" s="328">
        <v>-1.9209999999999998</v>
      </c>
      <c r="I17" s="328">
        <v>-1.8879999999999999</v>
      </c>
      <c r="J17" s="328">
        <v>0.4099999999999997</v>
      </c>
      <c r="K17" s="328">
        <v>-0.69499999999999995</v>
      </c>
      <c r="L17" s="328">
        <v>-1.6</v>
      </c>
      <c r="M17" s="328">
        <v>-0.65900000000000003</v>
      </c>
      <c r="N17" s="328">
        <v>-1.3520000000000003</v>
      </c>
      <c r="O17" s="329">
        <v>0.219</v>
      </c>
      <c r="P17" s="329">
        <v>22.715</v>
      </c>
      <c r="Q17" s="329">
        <v>15.920999999999999</v>
      </c>
      <c r="R17" s="329">
        <v>12.299000000000007</v>
      </c>
      <c r="S17" s="329">
        <v>6.4329999999999998</v>
      </c>
      <c r="T17" s="329">
        <v>19.545000000000002</v>
      </c>
      <c r="U17" s="329">
        <v>26.228999999999999</v>
      </c>
      <c r="V17" s="329">
        <v>375.19799999999998</v>
      </c>
      <c r="W17" s="329">
        <v>3.4279999999999999</v>
      </c>
      <c r="X17" s="329">
        <v>0.21799999999999997</v>
      </c>
      <c r="Y17" s="329">
        <v>4.1779999999999999</v>
      </c>
      <c r="Z17" s="329">
        <v>-3.1209999999999996</v>
      </c>
      <c r="AA17" s="329">
        <v>0.55783851000000007</v>
      </c>
      <c r="AB17" s="329">
        <v>0.38916148999999989</v>
      </c>
      <c r="AC17" s="329">
        <v>15.420999999999999</v>
      </c>
      <c r="AD17" s="329">
        <v>2.0086575799999977</v>
      </c>
      <c r="AE17" s="329">
        <v>6.7530000000000001</v>
      </c>
      <c r="AF17" s="329">
        <v>-2.8440000000000003</v>
      </c>
      <c r="AG17" s="329">
        <v>-2.056</v>
      </c>
      <c r="AH17" s="329">
        <v>1.9530000000000005</v>
      </c>
      <c r="AI17" s="329">
        <v>-1.3426788499999998</v>
      </c>
      <c r="AJ17" s="329">
        <v>-0.78756077000000002</v>
      </c>
      <c r="AL17" s="329">
        <f t="shared" si="0"/>
        <v>51.154000000000011</v>
      </c>
      <c r="AM17" s="329">
        <f t="shared" si="1"/>
        <v>427.40499999999997</v>
      </c>
      <c r="AN17" s="329">
        <f t="shared" si="2"/>
        <v>4.7030000000000003</v>
      </c>
      <c r="AO17" s="329">
        <v>18.376657579999996</v>
      </c>
      <c r="AP17" s="329">
        <f>SUM(AE17:AH17)</f>
        <v>3.806</v>
      </c>
    </row>
    <row r="18" spans="2:44">
      <c r="B18" s="207" t="s">
        <v>362</v>
      </c>
      <c r="C18" s="324">
        <v>39.940000000000033</v>
      </c>
      <c r="D18" s="324">
        <v>-2.9759999999999991</v>
      </c>
      <c r="E18" s="324">
        <v>-16.654999999999944</v>
      </c>
      <c r="F18" s="324">
        <v>-18.057999999999943</v>
      </c>
      <c r="G18" s="324">
        <v>38.124000000000009</v>
      </c>
      <c r="H18" s="324">
        <v>-16.920000000000087</v>
      </c>
      <c r="I18" s="324">
        <v>-2.4720000000000173</v>
      </c>
      <c r="J18" s="324">
        <v>-28.324999999999864</v>
      </c>
      <c r="K18" s="324">
        <v>-18.818000000000016</v>
      </c>
      <c r="L18" s="324">
        <v>9.444999999999995</v>
      </c>
      <c r="M18" s="324">
        <v>1.8209999999999684</v>
      </c>
      <c r="N18" s="324">
        <v>-33.098999999999862</v>
      </c>
      <c r="O18" s="325">
        <v>52.096999999999987</v>
      </c>
      <c r="P18" s="325">
        <v>4.980999999999959</v>
      </c>
      <c r="Q18" s="325">
        <v>14.493000000000059</v>
      </c>
      <c r="R18" s="325">
        <v>-152.89804229000023</v>
      </c>
      <c r="S18" s="325">
        <v>-83.356298640000034</v>
      </c>
      <c r="T18" s="325">
        <v>-45.862695309999879</v>
      </c>
      <c r="U18" s="325">
        <v>-28.77100605000021</v>
      </c>
      <c r="V18" s="325">
        <v>169.44500000000039</v>
      </c>
      <c r="W18" s="325">
        <v>-41.347999999999928</v>
      </c>
      <c r="X18" s="325">
        <v>-57.81599999999996</v>
      </c>
      <c r="Y18" s="325">
        <v>-12.528000000000304</v>
      </c>
      <c r="Z18" s="325">
        <v>-101.47999999999992</v>
      </c>
      <c r="AA18" s="325">
        <v>97.525501960000113</v>
      </c>
      <c r="AB18" s="325">
        <v>4.3064980400000508</v>
      </c>
      <c r="AC18" s="325">
        <v>53.735000000000078</v>
      </c>
      <c r="AD18" s="325">
        <v>48.87682075999939</v>
      </c>
      <c r="AE18" s="325">
        <v>140.2030000000002</v>
      </c>
      <c r="AF18" s="325">
        <v>36.924999999999841</v>
      </c>
      <c r="AG18" s="325">
        <v>68.539999999999907</v>
      </c>
      <c r="AH18" s="325">
        <v>10.997000000000639</v>
      </c>
      <c r="AI18" s="325">
        <v>138.95043060201388</v>
      </c>
      <c r="AJ18" s="325">
        <v>66.422221017804134</v>
      </c>
      <c r="AL18" s="325">
        <f t="shared" si="0"/>
        <v>-81.327042290000236</v>
      </c>
      <c r="AM18" s="325">
        <f t="shared" si="1"/>
        <v>11.455000000000268</v>
      </c>
      <c r="AN18" s="325">
        <f t="shared" si="2"/>
        <v>-213.17200000000011</v>
      </c>
      <c r="AO18" s="325">
        <f>SUM(AO16:AO17)</f>
        <v>204.44382075999962</v>
      </c>
      <c r="AP18" s="325">
        <f>SUM(AP16:AP17)</f>
        <v>256.66500000000059</v>
      </c>
      <c r="AQ18" s="316"/>
      <c r="AR18" s="316"/>
    </row>
    <row r="19" spans="2:44">
      <c r="B19" s="327" t="s">
        <v>363</v>
      </c>
      <c r="C19" s="328">
        <v>0</v>
      </c>
      <c r="D19" s="328">
        <v>0</v>
      </c>
      <c r="E19" s="328">
        <v>0</v>
      </c>
      <c r="F19" s="328">
        <v>0</v>
      </c>
      <c r="G19" s="328">
        <v>0</v>
      </c>
      <c r="H19" s="328">
        <v>0</v>
      </c>
      <c r="I19" s="328">
        <v>0</v>
      </c>
      <c r="J19" s="328">
        <v>0</v>
      </c>
      <c r="K19" s="328">
        <v>0</v>
      </c>
      <c r="L19" s="328">
        <v>-0.45900000000000002</v>
      </c>
      <c r="M19" s="328">
        <v>7.0000000000000001E-3</v>
      </c>
      <c r="N19" s="328">
        <v>0.90900000000000003</v>
      </c>
      <c r="O19" s="329">
        <v>2.1008362209854967</v>
      </c>
      <c r="P19" s="329">
        <v>2.0058345927252139</v>
      </c>
      <c r="Q19" s="329">
        <v>1.3089999999999999</v>
      </c>
      <c r="R19" s="329">
        <v>0.92122626639459781</v>
      </c>
      <c r="S19" s="329">
        <v>6.7572005144978977</v>
      </c>
      <c r="T19" s="329">
        <v>35.500633799063763</v>
      </c>
      <c r="U19" s="329">
        <v>17.953953853566034</v>
      </c>
      <c r="V19" s="329">
        <v>53.494471078372612</v>
      </c>
      <c r="W19" s="329">
        <v>35.861881981157097</v>
      </c>
      <c r="X19" s="329">
        <v>43.995139829876834</v>
      </c>
      <c r="Y19" s="329">
        <v>17.707047301305298</v>
      </c>
      <c r="Z19" s="329">
        <v>18.893673015347673</v>
      </c>
      <c r="AA19" s="329">
        <v>32.99</v>
      </c>
      <c r="AB19" s="329">
        <v>18.994999999999997</v>
      </c>
      <c r="AC19" s="329">
        <v>34.29</v>
      </c>
      <c r="AD19" s="329">
        <v>33.024493481667051</v>
      </c>
      <c r="AE19" s="329">
        <v>44.478999999999999</v>
      </c>
      <c r="AF19" s="329">
        <v>27.385000000000005</v>
      </c>
      <c r="AG19" s="329">
        <v>31.99799999999999</v>
      </c>
      <c r="AH19" s="329">
        <v>29.048000000000002</v>
      </c>
      <c r="AI19" s="329">
        <v>32.737620632014028</v>
      </c>
      <c r="AJ19" s="329">
        <v>37.293816767803605</v>
      </c>
      <c r="AL19" s="329">
        <f t="shared" si="0"/>
        <v>6.3368970801053086</v>
      </c>
      <c r="AM19" s="329">
        <f t="shared" si="1"/>
        <v>113.70625924550031</v>
      </c>
      <c r="AN19" s="329">
        <f t="shared" si="2"/>
        <v>116.4577421276869</v>
      </c>
      <c r="AO19" s="329">
        <v>119.29949348166706</v>
      </c>
      <c r="AP19" s="329">
        <f>SUM(AE19:AH19)</f>
        <v>132.91</v>
      </c>
      <c r="AQ19" s="316"/>
      <c r="AR19" s="316"/>
    </row>
    <row r="20" spans="2:44">
      <c r="B20" s="207" t="s">
        <v>364</v>
      </c>
      <c r="C20" s="324">
        <v>39.940000000000033</v>
      </c>
      <c r="D20" s="324">
        <v>-2.9759999999999991</v>
      </c>
      <c r="E20" s="324">
        <v>-16.654999999999944</v>
      </c>
      <c r="F20" s="324">
        <v>-18.057999999999943</v>
      </c>
      <c r="G20" s="324">
        <v>38.124000000000009</v>
      </c>
      <c r="H20" s="324">
        <v>-16.920000000000087</v>
      </c>
      <c r="I20" s="324">
        <v>-2.4720000000000173</v>
      </c>
      <c r="J20" s="324">
        <v>-28.324999999999864</v>
      </c>
      <c r="K20" s="324">
        <v>-18.818000000000016</v>
      </c>
      <c r="L20" s="324">
        <f>L18-L19</f>
        <v>9.9039999999999946</v>
      </c>
      <c r="M20" s="324">
        <f t="shared" ref="M20:X20" si="5">M18-M19</f>
        <v>1.8139999999999685</v>
      </c>
      <c r="N20" s="324">
        <f t="shared" si="5"/>
        <v>-34.007999999999861</v>
      </c>
      <c r="O20" s="324">
        <f t="shared" si="5"/>
        <v>49.996163779014488</v>
      </c>
      <c r="P20" s="324">
        <f t="shared" si="5"/>
        <v>2.9751654072747451</v>
      </c>
      <c r="Q20" s="324">
        <f t="shared" si="5"/>
        <v>13.18400000000006</v>
      </c>
      <c r="R20" s="324">
        <f t="shared" si="5"/>
        <v>-153.81926855639483</v>
      </c>
      <c r="S20" s="324">
        <f t="shared" si="5"/>
        <v>-90.11349915449793</v>
      </c>
      <c r="T20" s="324">
        <f t="shared" si="5"/>
        <v>-81.363329109063642</v>
      </c>
      <c r="U20" s="324">
        <f t="shared" si="5"/>
        <v>-46.724959903566244</v>
      </c>
      <c r="V20" s="324">
        <f t="shared" si="5"/>
        <v>115.95052892162778</v>
      </c>
      <c r="W20" s="324">
        <v>-77.209881981157011</v>
      </c>
      <c r="X20" s="324">
        <f t="shared" si="5"/>
        <v>-101.81113982987679</v>
      </c>
      <c r="Y20" s="324">
        <f>Y18-Y19</f>
        <v>-30.235047301305602</v>
      </c>
      <c r="Z20" s="324">
        <v>-120.37367301534759</v>
      </c>
      <c r="AA20" s="324">
        <v>64.535501960000119</v>
      </c>
      <c r="AB20" s="324">
        <v>-14.688501959999947</v>
      </c>
      <c r="AC20" s="324">
        <v>19.445000000000078</v>
      </c>
      <c r="AD20" s="324">
        <v>15.852327278332311</v>
      </c>
      <c r="AE20" s="324">
        <v>95.724000000000203</v>
      </c>
      <c r="AF20" s="324">
        <v>9.5399999999998357</v>
      </c>
      <c r="AG20" s="324">
        <v>36.541999999999916</v>
      </c>
      <c r="AH20" s="324">
        <v>-18.050999999999362</v>
      </c>
      <c r="AI20" s="324">
        <v>106.21280996999985</v>
      </c>
      <c r="AJ20" s="324">
        <v>29.128404250000528</v>
      </c>
      <c r="AL20" s="325">
        <f t="shared" si="0"/>
        <v>-87.663939370105538</v>
      </c>
      <c r="AM20" s="325">
        <f t="shared" si="1"/>
        <v>-102.25125924550002</v>
      </c>
      <c r="AN20" s="325">
        <f t="shared" si="2"/>
        <v>-329.629742127687</v>
      </c>
      <c r="AO20" s="325">
        <f>AO18-AO19</f>
        <v>85.144327278332568</v>
      </c>
      <c r="AP20" s="325">
        <f>AP18-AP19</f>
        <v>123.75500000000059</v>
      </c>
      <c r="AQ20" s="316"/>
      <c r="AR20" s="316"/>
    </row>
    <row r="21" spans="2:44" ht="15" customHeight="1">
      <c r="AQ21" s="316"/>
    </row>
    <row r="22" spans="2:44" ht="15" customHeight="1">
      <c r="AQ22" s="316"/>
    </row>
    <row r="23" spans="2:44" ht="15" customHeight="1">
      <c r="AQ23" s="316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L6:AN20 AL5:AN5 AP5:AP12 AP14:AP15 AP17 AP19:AP20 AO7" formulaRange="1"/>
    <ignoredError sqref="AP13 AP16 AP18" formula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U51"/>
  <sheetViews>
    <sheetView showGridLines="0" zoomScale="73" zoomScaleNormal="85" workbookViewId="0">
      <pane xSplit="2" ySplit="4" topLeftCell="AC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  <col min="38" max="38" width="11.42578125" bestFit="1" customWidth="1"/>
    <col min="39" max="42" width="11.7109375" bestFit="1" customWidth="1"/>
  </cols>
  <sheetData>
    <row r="1" spans="2:47" ht="18.75">
      <c r="B1" s="332" t="s">
        <v>371</v>
      </c>
    </row>
    <row r="2" spans="2:47">
      <c r="B2" s="280"/>
      <c r="AA2" s="72"/>
      <c r="AB2" s="72"/>
      <c r="AC2" s="72"/>
      <c r="AD2" s="72"/>
      <c r="AE2" s="72"/>
      <c r="AF2" s="72"/>
      <c r="AG2" s="72"/>
      <c r="AH2" s="72"/>
      <c r="AI2" s="72"/>
      <c r="AJ2" s="72"/>
      <c r="AL2" s="72"/>
      <c r="AM2" s="72"/>
      <c r="AN2" s="72"/>
      <c r="AO2" s="72"/>
      <c r="AP2" s="72"/>
    </row>
    <row r="3" spans="2:47"/>
    <row r="4" spans="2:47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J4" s="149" t="str">
        <f>'Histórico Ebitda LTM'!AJ4</f>
        <v>2T26</v>
      </c>
      <c r="AL4" s="149">
        <v>2021</v>
      </c>
      <c r="AM4" s="149">
        <v>2022</v>
      </c>
      <c r="AN4" s="149">
        <v>2023</v>
      </c>
      <c r="AO4" s="259">
        <v>2024</v>
      </c>
      <c r="AP4" s="259">
        <v>2025</v>
      </c>
    </row>
    <row r="5" spans="2:47">
      <c r="B5" s="147" t="s">
        <v>16</v>
      </c>
      <c r="C5" s="162" t="s">
        <v>340</v>
      </c>
      <c r="D5" s="162" t="s">
        <v>340</v>
      </c>
      <c r="E5" s="162" t="s">
        <v>340</v>
      </c>
      <c r="F5" s="162" t="s">
        <v>340</v>
      </c>
      <c r="G5" s="162" t="s">
        <v>340</v>
      </c>
      <c r="H5" s="162" t="s">
        <v>340</v>
      </c>
      <c r="I5" s="162" t="s">
        <v>340</v>
      </c>
      <c r="J5" s="162" t="s">
        <v>340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G5" s="148">
        <v>2051.8549609599995</v>
      </c>
      <c r="AH5" s="148">
        <v>2051.0986308200008</v>
      </c>
      <c r="AI5" s="148">
        <v>2286.33512883</v>
      </c>
      <c r="AJ5" s="148">
        <v>2265.3647335099995</v>
      </c>
      <c r="AL5" s="148">
        <f>SUM(O5:R5)</f>
        <v>5144.7159229400013</v>
      </c>
      <c r="AM5" s="148">
        <f>SUM(S5:V5)</f>
        <v>7078.5705924199992</v>
      </c>
      <c r="AN5" s="148">
        <f>SUM(W5:Z5)</f>
        <v>7646.9637536699993</v>
      </c>
      <c r="AO5" s="148">
        <v>7772.0456706699997</v>
      </c>
      <c r="AP5" s="148">
        <f>SUM(AE5:AH5)</f>
        <v>8411.3415867300009</v>
      </c>
    </row>
    <row r="6" spans="2:47">
      <c r="B6" s="97" t="s">
        <v>81</v>
      </c>
      <c r="C6" s="159" t="s">
        <v>340</v>
      </c>
      <c r="D6" s="159" t="s">
        <v>340</v>
      </c>
      <c r="E6" s="159" t="s">
        <v>340</v>
      </c>
      <c r="F6" s="159" t="s">
        <v>340</v>
      </c>
      <c r="G6" s="159" t="s">
        <v>340</v>
      </c>
      <c r="H6" s="159" t="s">
        <v>340</v>
      </c>
      <c r="I6" s="159" t="s">
        <v>340</v>
      </c>
      <c r="J6" s="159" t="s">
        <v>340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G6" s="98">
        <v>-1004.9881687700004</v>
      </c>
      <c r="AH6" s="98">
        <v>-1041.02977977</v>
      </c>
      <c r="AI6" s="98">
        <v>-1123.53501983</v>
      </c>
      <c r="AJ6" s="98">
        <v>-1174.9453517699997</v>
      </c>
      <c r="AL6" s="98">
        <f t="shared" ref="AL6:AL48" si="0">SUM(O6:R6)</f>
        <v>-2367.7951017900004</v>
      </c>
      <c r="AM6" s="98">
        <f t="shared" ref="AM6:AM48" si="1">SUM(S6:V6)</f>
        <v>-3367.4266680599999</v>
      </c>
      <c r="AN6" s="98">
        <f t="shared" ref="AN6:AN48" si="2">SUM(W6:Z6)</f>
        <v>-3767.4866009099987</v>
      </c>
      <c r="AO6" s="98">
        <v>-3819.1012969100002</v>
      </c>
      <c r="AP6" s="98">
        <f t="shared" ref="AP6:AP48" si="3">SUM(AE6:AH6)</f>
        <v>-4228.4466784100005</v>
      </c>
    </row>
    <row r="7" spans="2:47">
      <c r="B7" s="97" t="s">
        <v>17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G7" s="98">
        <v>-40.951622819999997</v>
      </c>
      <c r="AH7" s="98">
        <v>-37.748921750000008</v>
      </c>
      <c r="AI7" s="98">
        <v>-42.397341159999996</v>
      </c>
      <c r="AJ7" s="98">
        <v>-40.370089140000012</v>
      </c>
      <c r="AL7" s="98">
        <f t="shared" si="0"/>
        <v>-109.78620364000001</v>
      </c>
      <c r="AM7" s="98">
        <f t="shared" si="1"/>
        <v>-147.91379419999998</v>
      </c>
      <c r="AN7" s="98">
        <f t="shared" si="2"/>
        <v>-146.53753053999998</v>
      </c>
      <c r="AO7" s="98">
        <v>-151.57058089999998</v>
      </c>
      <c r="AP7" s="98">
        <f t="shared" si="3"/>
        <v>-159.19816985</v>
      </c>
    </row>
    <row r="8" spans="2:47">
      <c r="B8" s="99" t="s">
        <v>18</v>
      </c>
      <c r="C8" s="161" t="s">
        <v>340</v>
      </c>
      <c r="D8" s="161" t="s">
        <v>340</v>
      </c>
      <c r="E8" s="161" t="s">
        <v>340</v>
      </c>
      <c r="F8" s="161" t="s">
        <v>340</v>
      </c>
      <c r="G8" s="161" t="s">
        <v>340</v>
      </c>
      <c r="H8" s="161" t="s">
        <v>340</v>
      </c>
      <c r="I8" s="161" t="s">
        <v>340</v>
      </c>
      <c r="J8" s="161" t="s">
        <v>340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G8" s="100">
        <v>1005.9151693699989</v>
      </c>
      <c r="AH8" s="100">
        <v>972.31992930000115</v>
      </c>
      <c r="AI8" s="100">
        <v>1120.40276784</v>
      </c>
      <c r="AJ8" s="100">
        <v>1050.0492925999999</v>
      </c>
      <c r="AL8" s="100">
        <f t="shared" si="0"/>
        <v>2667.1346175100007</v>
      </c>
      <c r="AM8" s="100">
        <f t="shared" si="1"/>
        <v>3563.2301301599991</v>
      </c>
      <c r="AN8" s="100">
        <f t="shared" si="2"/>
        <v>3732.9396222200003</v>
      </c>
      <c r="AO8" s="100">
        <v>3801.3737928599994</v>
      </c>
      <c r="AP8" s="100">
        <f t="shared" si="3"/>
        <v>4023.6967384700006</v>
      </c>
      <c r="AS8" s="72"/>
      <c r="AT8" s="72"/>
      <c r="AU8" s="72"/>
    </row>
    <row r="9" spans="2:47">
      <c r="B9" s="101" t="s">
        <v>19</v>
      </c>
      <c r="C9" s="161" t="s">
        <v>340</v>
      </c>
      <c r="D9" s="161" t="s">
        <v>340</v>
      </c>
      <c r="E9" s="161" t="s">
        <v>340</v>
      </c>
      <c r="F9" s="161" t="s">
        <v>340</v>
      </c>
      <c r="G9" s="161" t="s">
        <v>340</v>
      </c>
      <c r="H9" s="161" t="s">
        <v>340</v>
      </c>
      <c r="I9" s="161" t="s">
        <v>340</v>
      </c>
      <c r="J9" s="161" t="s">
        <v>340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G9" s="102">
        <v>-329.36596935999978</v>
      </c>
      <c r="AH9" s="102">
        <v>-336.6651721400001</v>
      </c>
      <c r="AI9" s="102">
        <v>-311.83325129000002</v>
      </c>
      <c r="AJ9" s="102">
        <v>-365.5158573299999</v>
      </c>
      <c r="AL9" s="102">
        <f t="shared" si="0"/>
        <v>-990.54701497989993</v>
      </c>
      <c r="AM9" s="102">
        <f t="shared" si="1"/>
        <v>-1287.8965562000001</v>
      </c>
      <c r="AN9" s="102">
        <f t="shared" si="2"/>
        <v>-1274.4009443199993</v>
      </c>
      <c r="AO9" s="102">
        <v>-1243.6999153700008</v>
      </c>
      <c r="AP9" s="102">
        <f t="shared" si="3"/>
        <v>-1309.8712188699999</v>
      </c>
    </row>
    <row r="10" spans="2:47">
      <c r="B10" s="103" t="s">
        <v>218</v>
      </c>
      <c r="C10" s="163" t="s">
        <v>340</v>
      </c>
      <c r="D10" s="163" t="s">
        <v>340</v>
      </c>
      <c r="E10" s="163" t="s">
        <v>340</v>
      </c>
      <c r="F10" s="163" t="s">
        <v>340</v>
      </c>
      <c r="G10" s="163" t="s">
        <v>340</v>
      </c>
      <c r="H10" s="163" t="s">
        <v>340</v>
      </c>
      <c r="I10" s="163" t="s">
        <v>340</v>
      </c>
      <c r="J10" s="163" t="s">
        <v>340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G10" s="104">
        <v>-203.4557350299998</v>
      </c>
      <c r="AH10" s="104">
        <v>-205.30278142000009</v>
      </c>
      <c r="AI10" s="104">
        <v>-193.89647979000003</v>
      </c>
      <c r="AJ10" s="104">
        <v>-236.57442332999992</v>
      </c>
      <c r="AL10" s="104">
        <f t="shared" si="0"/>
        <v>-756.14911726000003</v>
      </c>
      <c r="AM10" s="104">
        <f t="shared" si="1"/>
        <v>-907.4231553100002</v>
      </c>
      <c r="AN10" s="104">
        <f t="shared" si="2"/>
        <v>-915.2848749599998</v>
      </c>
      <c r="AO10" s="104">
        <v>-834.50711623000075</v>
      </c>
      <c r="AP10" s="104">
        <f t="shared" si="3"/>
        <v>-820.5962164299998</v>
      </c>
    </row>
    <row r="11" spans="2:47">
      <c r="B11" s="105" t="s">
        <v>219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G11" s="106">
        <v>-37.673636009999996</v>
      </c>
      <c r="AH11" s="106">
        <v>-38.193492629999994</v>
      </c>
      <c r="AI11" s="106">
        <v>-29.263380160000004</v>
      </c>
      <c r="AJ11" s="106">
        <v>-38.539938749999997</v>
      </c>
      <c r="AL11" s="106">
        <f t="shared" si="0"/>
        <v>-94.011131789999993</v>
      </c>
      <c r="AM11" s="106">
        <f t="shared" si="1"/>
        <v>-119.20758163999997</v>
      </c>
      <c r="AN11" s="106">
        <f t="shared" si="2"/>
        <v>-114.54905994000001</v>
      </c>
      <c r="AO11" s="106">
        <v>-120.47601926999998</v>
      </c>
      <c r="AP11" s="106">
        <f t="shared" si="3"/>
        <v>-140.67600546999998</v>
      </c>
    </row>
    <row r="12" spans="2:47">
      <c r="B12" s="105" t="s">
        <v>220</v>
      </c>
      <c r="C12" s="159" t="s">
        <v>340</v>
      </c>
      <c r="D12" s="159" t="s">
        <v>340</v>
      </c>
      <c r="E12" s="159" t="s">
        <v>340</v>
      </c>
      <c r="F12" s="159" t="s">
        <v>340</v>
      </c>
      <c r="G12" s="159" t="s">
        <v>340</v>
      </c>
      <c r="H12" s="159" t="s">
        <v>340</v>
      </c>
      <c r="I12" s="159" t="s">
        <v>340</v>
      </c>
      <c r="J12" s="159" t="s">
        <v>340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G12" s="106">
        <v>-19.170568799999948</v>
      </c>
      <c r="AH12" s="106">
        <v>-18.437538520000011</v>
      </c>
      <c r="AI12" s="106">
        <v>-20.469488870000006</v>
      </c>
      <c r="AJ12" s="106">
        <v>-19.558343459999996</v>
      </c>
      <c r="AL12" s="106">
        <f t="shared" si="0"/>
        <v>-38.644288279899996</v>
      </c>
      <c r="AM12" s="106">
        <f t="shared" si="1"/>
        <v>-88.726132360000008</v>
      </c>
      <c r="AN12" s="106">
        <f t="shared" si="2"/>
        <v>-69.97032889999997</v>
      </c>
      <c r="AO12" s="106">
        <v>-69.832457109999964</v>
      </c>
      <c r="AP12" s="106">
        <f t="shared" si="3"/>
        <v>-76.565268789999976</v>
      </c>
    </row>
    <row r="13" spans="2:47">
      <c r="B13" s="105" t="s">
        <v>221</v>
      </c>
      <c r="C13" s="159" t="s">
        <v>340</v>
      </c>
      <c r="D13" s="159" t="s">
        <v>340</v>
      </c>
      <c r="E13" s="159" t="s">
        <v>340</v>
      </c>
      <c r="F13" s="159" t="s">
        <v>340</v>
      </c>
      <c r="G13" s="159" t="s">
        <v>340</v>
      </c>
      <c r="H13" s="159" t="s">
        <v>340</v>
      </c>
      <c r="I13" s="159" t="s">
        <v>340</v>
      </c>
      <c r="J13" s="159" t="s">
        <v>340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G13" s="106">
        <v>-69.066029520000001</v>
      </c>
      <c r="AH13" s="106">
        <v>-74.731359569999995</v>
      </c>
      <c r="AI13" s="106">
        <v>-68.203902469999989</v>
      </c>
      <c r="AJ13" s="106">
        <v>-70.843151789999965</v>
      </c>
      <c r="AL13" s="106">
        <f t="shared" si="0"/>
        <v>-101.74247765</v>
      </c>
      <c r="AM13" s="106">
        <f t="shared" si="1"/>
        <v>-172.53968688999996</v>
      </c>
      <c r="AN13" s="106">
        <f t="shared" si="2"/>
        <v>-174.59668051999955</v>
      </c>
      <c r="AO13" s="106">
        <v>-218.88432275999992</v>
      </c>
      <c r="AP13" s="106">
        <f t="shared" si="3"/>
        <v>-272.03372817999997</v>
      </c>
    </row>
    <row r="14" spans="2:47">
      <c r="B14" s="111" t="s">
        <v>222</v>
      </c>
      <c r="C14" s="164" t="s">
        <v>340</v>
      </c>
      <c r="D14" s="164" t="s">
        <v>340</v>
      </c>
      <c r="E14" s="164" t="s">
        <v>340</v>
      </c>
      <c r="F14" s="164" t="s">
        <v>340</v>
      </c>
      <c r="G14" s="164" t="s">
        <v>340</v>
      </c>
      <c r="H14" s="164" t="s">
        <v>340</v>
      </c>
      <c r="I14" s="164" t="s">
        <v>340</v>
      </c>
      <c r="J14" s="164" t="s">
        <v>340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G14" s="112">
        <v>676.54920000999914</v>
      </c>
      <c r="AH14" s="112">
        <v>635.65475716000128</v>
      </c>
      <c r="AI14" s="112">
        <v>808.56951655</v>
      </c>
      <c r="AJ14" s="112">
        <v>684.53343527000004</v>
      </c>
      <c r="AL14" s="112">
        <f t="shared" si="0"/>
        <v>1676.5876025301011</v>
      </c>
      <c r="AM14" s="112">
        <f t="shared" si="1"/>
        <v>2275.3335739599988</v>
      </c>
      <c r="AN14" s="112">
        <f t="shared" si="2"/>
        <v>2458.5386779000009</v>
      </c>
      <c r="AO14" s="112">
        <v>2557.6738774899986</v>
      </c>
      <c r="AP14" s="112">
        <f t="shared" si="3"/>
        <v>2713.8255196000009</v>
      </c>
    </row>
    <row r="15" spans="2:47">
      <c r="B15" s="107" t="s">
        <v>26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G15" s="108">
        <v>-100.22023206</v>
      </c>
      <c r="AH15" s="108">
        <v>-122.88205108000005</v>
      </c>
      <c r="AI15" s="108">
        <v>-173.79740548000001</v>
      </c>
      <c r="AJ15" s="108">
        <v>-106.35420157999994</v>
      </c>
      <c r="AL15" s="108">
        <f t="shared" si="0"/>
        <v>-302.91787402</v>
      </c>
      <c r="AM15" s="108">
        <f t="shared" si="1"/>
        <v>-432.25900767999997</v>
      </c>
      <c r="AN15" s="108">
        <f t="shared" si="2"/>
        <v>-464.30071156999998</v>
      </c>
      <c r="AO15" s="108">
        <v>-469.17300806000009</v>
      </c>
      <c r="AP15" s="108">
        <f t="shared" si="3"/>
        <v>-465.03891362000007</v>
      </c>
    </row>
    <row r="16" spans="2:47">
      <c r="B16" s="109" t="s">
        <v>223</v>
      </c>
      <c r="C16" s="165" t="s">
        <v>340</v>
      </c>
      <c r="D16" s="165" t="s">
        <v>340</v>
      </c>
      <c r="E16" s="165" t="s">
        <v>340</v>
      </c>
      <c r="F16" s="165" t="s">
        <v>340</v>
      </c>
      <c r="G16" s="165" t="s">
        <v>340</v>
      </c>
      <c r="H16" s="165" t="s">
        <v>340</v>
      </c>
      <c r="I16" s="165" t="s">
        <v>340</v>
      </c>
      <c r="J16" s="165" t="s">
        <v>340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G16" s="98">
        <v>-29.440410190000037</v>
      </c>
      <c r="AH16" s="98">
        <v>-49.767605939999967</v>
      </c>
      <c r="AI16" s="98">
        <v>-53.026019289999994</v>
      </c>
      <c r="AJ16" s="98">
        <v>-55.983326129999995</v>
      </c>
      <c r="AL16" s="98">
        <f t="shared" si="0"/>
        <v>-161.44398111999999</v>
      </c>
      <c r="AM16" s="98">
        <f t="shared" si="1"/>
        <v>-194.49546143999999</v>
      </c>
      <c r="AN16" s="98">
        <f t="shared" si="2"/>
        <v>-192.40358312000001</v>
      </c>
      <c r="AO16" s="98">
        <v>-178.52603951000003</v>
      </c>
      <c r="AP16" s="98">
        <f t="shared" si="3"/>
        <v>-173.16533147000001</v>
      </c>
    </row>
    <row r="17" spans="2:42">
      <c r="B17" s="109" t="s">
        <v>224</v>
      </c>
      <c r="C17" s="165" t="s">
        <v>340</v>
      </c>
      <c r="D17" s="165" t="s">
        <v>340</v>
      </c>
      <c r="E17" s="165" t="s">
        <v>340</v>
      </c>
      <c r="F17" s="165" t="s">
        <v>340</v>
      </c>
      <c r="G17" s="165" t="s">
        <v>340</v>
      </c>
      <c r="H17" s="165" t="s">
        <v>340</v>
      </c>
      <c r="I17" s="165" t="s">
        <v>340</v>
      </c>
      <c r="J17" s="165" t="s">
        <v>340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G17" s="98">
        <v>-70.779821869999978</v>
      </c>
      <c r="AH17" s="98">
        <v>-73.114445140000072</v>
      </c>
      <c r="AI17" s="98">
        <v>-120.77138619</v>
      </c>
      <c r="AJ17" s="98">
        <v>-50.370875449999986</v>
      </c>
      <c r="AL17" s="98">
        <f t="shared" si="0"/>
        <v>-141.47389289999998</v>
      </c>
      <c r="AM17" s="98">
        <f t="shared" si="1"/>
        <v>-237.76354623999995</v>
      </c>
      <c r="AN17" s="98">
        <f t="shared" si="2"/>
        <v>-271.89712844999997</v>
      </c>
      <c r="AO17" s="98">
        <v>-290.64696855000005</v>
      </c>
      <c r="AP17" s="98">
        <f t="shared" si="3"/>
        <v>-291.87358215000006</v>
      </c>
    </row>
    <row r="18" spans="2:42">
      <c r="B18" s="101" t="s">
        <v>29</v>
      </c>
      <c r="C18" s="161" t="s">
        <v>340</v>
      </c>
      <c r="D18" s="161" t="s">
        <v>340</v>
      </c>
      <c r="E18" s="161" t="s">
        <v>340</v>
      </c>
      <c r="F18" s="161" t="s">
        <v>340</v>
      </c>
      <c r="G18" s="161" t="s">
        <v>340</v>
      </c>
      <c r="H18" s="161" t="s">
        <v>340</v>
      </c>
      <c r="I18" s="161" t="s">
        <v>340</v>
      </c>
      <c r="J18" s="161" t="s">
        <v>340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G18" s="102">
        <v>-125.73120546000007</v>
      </c>
      <c r="AH18" s="102">
        <v>-114.93737727999996</v>
      </c>
      <c r="AI18" s="102">
        <v>-131.26705161999999</v>
      </c>
      <c r="AJ18" s="102">
        <v>-129.51666137000004</v>
      </c>
      <c r="AL18" s="102">
        <f t="shared" si="0"/>
        <v>-288.95348417000002</v>
      </c>
      <c r="AM18" s="102">
        <f t="shared" si="1"/>
        <v>-443.01067941999997</v>
      </c>
      <c r="AN18" s="102">
        <f t="shared" si="2"/>
        <v>-465.95391846370001</v>
      </c>
      <c r="AO18" s="102">
        <v>-458.35703960000001</v>
      </c>
      <c r="AP18" s="102">
        <f t="shared" si="3"/>
        <v>-479.08306228999999</v>
      </c>
    </row>
    <row r="19" spans="2:42">
      <c r="B19" s="109" t="s">
        <v>225</v>
      </c>
      <c r="C19" s="165" t="s">
        <v>340</v>
      </c>
      <c r="D19" s="165" t="s">
        <v>340</v>
      </c>
      <c r="E19" s="165" t="s">
        <v>340</v>
      </c>
      <c r="F19" s="165" t="s">
        <v>340</v>
      </c>
      <c r="G19" s="165" t="s">
        <v>340</v>
      </c>
      <c r="H19" s="165" t="s">
        <v>340</v>
      </c>
      <c r="I19" s="165" t="s">
        <v>340</v>
      </c>
      <c r="J19" s="165" t="s">
        <v>340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G19" s="98">
        <v>-85.935861579999994</v>
      </c>
      <c r="AH19" s="98">
        <v>-74.790826729999992</v>
      </c>
      <c r="AI19" s="98">
        <v>-87.239194229999981</v>
      </c>
      <c r="AJ19" s="98">
        <v>-91.396945480000056</v>
      </c>
      <c r="AL19" s="98">
        <f t="shared" si="0"/>
        <v>-187.09069636999999</v>
      </c>
      <c r="AM19" s="98">
        <f t="shared" si="1"/>
        <v>-300.63736415000096</v>
      </c>
      <c r="AN19" s="98">
        <f t="shared" si="2"/>
        <v>-310.10348747</v>
      </c>
      <c r="AO19" s="98">
        <v>-292.85531564999906</v>
      </c>
      <c r="AP19" s="98">
        <f t="shared" si="3"/>
        <v>-322.96987601999996</v>
      </c>
    </row>
    <row r="20" spans="2:42">
      <c r="B20" s="109" t="s">
        <v>226</v>
      </c>
      <c r="C20" s="165" t="s">
        <v>340</v>
      </c>
      <c r="D20" s="165" t="s">
        <v>340</v>
      </c>
      <c r="E20" s="165" t="s">
        <v>340</v>
      </c>
      <c r="F20" s="165" t="s">
        <v>340</v>
      </c>
      <c r="G20" s="165" t="s">
        <v>340</v>
      </c>
      <c r="H20" s="165" t="s">
        <v>340</v>
      </c>
      <c r="I20" s="165" t="s">
        <v>340</v>
      </c>
      <c r="J20" s="165" t="s">
        <v>340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G20" s="98">
        <v>-28.982569270000006</v>
      </c>
      <c r="AH20" s="98">
        <v>-30.275732470000008</v>
      </c>
      <c r="AI20" s="98">
        <v>-33.116789159999996</v>
      </c>
      <c r="AJ20" s="98">
        <v>-29.98519821</v>
      </c>
      <c r="AL20" s="98">
        <f t="shared" si="0"/>
        <v>-77.389798690000021</v>
      </c>
      <c r="AM20" s="98">
        <f t="shared" si="1"/>
        <v>-106.55192772000001</v>
      </c>
      <c r="AN20" s="98">
        <f t="shared" si="2"/>
        <v>-111.42066458170001</v>
      </c>
      <c r="AO20" s="98">
        <v>-112.30749762000099</v>
      </c>
      <c r="AP20" s="98">
        <f t="shared" si="3"/>
        <v>-116.85409526000001</v>
      </c>
    </row>
    <row r="21" spans="2:42">
      <c r="B21" s="109" t="s">
        <v>227</v>
      </c>
      <c r="C21" s="165" t="s">
        <v>340</v>
      </c>
      <c r="D21" s="165" t="s">
        <v>340</v>
      </c>
      <c r="E21" s="165" t="s">
        <v>340</v>
      </c>
      <c r="F21" s="165" t="s">
        <v>340</v>
      </c>
      <c r="G21" s="165" t="s">
        <v>340</v>
      </c>
      <c r="H21" s="165" t="s">
        <v>340</v>
      </c>
      <c r="I21" s="165" t="s">
        <v>340</v>
      </c>
      <c r="J21" s="165" t="s">
        <v>340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G21" s="98">
        <v>-1.7029279600000096</v>
      </c>
      <c r="AH21" s="98">
        <v>-0.99459553999998196</v>
      </c>
      <c r="AI21" s="98">
        <v>-1.8592143300000017</v>
      </c>
      <c r="AJ21" s="98">
        <v>-0.45561360999999501</v>
      </c>
      <c r="AL21" s="98">
        <f t="shared" si="0"/>
        <v>-2.4538410800000001</v>
      </c>
      <c r="AM21" s="98">
        <f t="shared" si="1"/>
        <v>5.3152380400000006</v>
      </c>
      <c r="AN21" s="98">
        <f t="shared" si="2"/>
        <v>3.2854512328000025</v>
      </c>
      <c r="AO21" s="98">
        <v>-4.2881614399999997</v>
      </c>
      <c r="AP21" s="98">
        <f t="shared" si="3"/>
        <v>-4.4644502999999931</v>
      </c>
    </row>
    <row r="22" spans="2:42">
      <c r="B22" s="109" t="s">
        <v>228</v>
      </c>
      <c r="C22" s="165" t="s">
        <v>340</v>
      </c>
      <c r="D22" s="165" t="s">
        <v>340</v>
      </c>
      <c r="E22" s="165" t="s">
        <v>340</v>
      </c>
      <c r="F22" s="165" t="s">
        <v>340</v>
      </c>
      <c r="G22" s="165" t="s">
        <v>340</v>
      </c>
      <c r="H22" s="165" t="s">
        <v>340</v>
      </c>
      <c r="I22" s="165" t="s">
        <v>340</v>
      </c>
      <c r="J22" s="165" t="s">
        <v>340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G22" s="98">
        <v>-9.1098466499999944</v>
      </c>
      <c r="AH22" s="98">
        <v>-8.8762225400000077</v>
      </c>
      <c r="AI22" s="98">
        <v>-9.0518539000000011</v>
      </c>
      <c r="AJ22" s="98">
        <v>-7.6789040699999944</v>
      </c>
      <c r="AL22" s="98">
        <f t="shared" si="0"/>
        <v>-22.019148029999997</v>
      </c>
      <c r="AM22" s="98">
        <f t="shared" si="1"/>
        <v>-41.136625589998999</v>
      </c>
      <c r="AN22" s="98">
        <f t="shared" si="2"/>
        <v>-47.715217644799978</v>
      </c>
      <c r="AO22" s="98">
        <v>-48.906064889999996</v>
      </c>
      <c r="AP22" s="98">
        <f t="shared" si="3"/>
        <v>-34.794640710000003</v>
      </c>
    </row>
    <row r="23" spans="2:42">
      <c r="B23" s="101" t="s">
        <v>30</v>
      </c>
      <c r="C23" s="161" t="s">
        <v>340</v>
      </c>
      <c r="D23" s="161" t="s">
        <v>340</v>
      </c>
      <c r="E23" s="161" t="s">
        <v>340</v>
      </c>
      <c r="F23" s="161" t="s">
        <v>340</v>
      </c>
      <c r="G23" s="161" t="s">
        <v>340</v>
      </c>
      <c r="H23" s="161" t="s">
        <v>340</v>
      </c>
      <c r="I23" s="161" t="s">
        <v>340</v>
      </c>
      <c r="J23" s="161" t="s">
        <v>340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G23" s="102">
        <v>-14.931836069999989</v>
      </c>
      <c r="AH23" s="102">
        <v>13.567238089999993</v>
      </c>
      <c r="AI23" s="102">
        <v>-2.6327724600000018</v>
      </c>
      <c r="AJ23" s="102">
        <v>5.7748621500000006</v>
      </c>
      <c r="AL23" s="102">
        <f t="shared" si="0"/>
        <v>17.772568919999976</v>
      </c>
      <c r="AM23" s="102">
        <f t="shared" si="1"/>
        <v>10.504416440001275</v>
      </c>
      <c r="AN23" s="102">
        <f t="shared" si="2"/>
        <v>-24.998180769999937</v>
      </c>
      <c r="AO23" s="102">
        <v>-17.556042630000022</v>
      </c>
      <c r="AP23" s="102">
        <f t="shared" si="3"/>
        <v>-15.045111179999989</v>
      </c>
    </row>
    <row r="24" spans="2:42">
      <c r="B24" s="109" t="s">
        <v>229</v>
      </c>
      <c r="C24" s="165" t="s">
        <v>340</v>
      </c>
      <c r="D24" s="165" t="s">
        <v>340</v>
      </c>
      <c r="E24" s="165" t="s">
        <v>340</v>
      </c>
      <c r="F24" s="165" t="s">
        <v>340</v>
      </c>
      <c r="G24" s="165" t="s">
        <v>340</v>
      </c>
      <c r="H24" s="165" t="s">
        <v>340</v>
      </c>
      <c r="I24" s="165" t="s">
        <v>340</v>
      </c>
      <c r="J24" s="165" t="s">
        <v>340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G24" s="98">
        <v>-15.479104879999996</v>
      </c>
      <c r="AH24" s="98">
        <v>0.21040107999999691</v>
      </c>
      <c r="AI24" s="98">
        <v>-8.0024331600000007</v>
      </c>
      <c r="AJ24" s="98">
        <v>-7.4763271800000002</v>
      </c>
      <c r="AL24" s="98">
        <f t="shared" si="0"/>
        <v>-26.80349111200001</v>
      </c>
      <c r="AM24" s="98">
        <f t="shared" si="1"/>
        <v>-10.813171819999436</v>
      </c>
      <c r="AN24" s="98">
        <f t="shared" si="2"/>
        <v>-43.627436649999986</v>
      </c>
      <c r="AO24" s="98">
        <v>-28.109984290000025</v>
      </c>
      <c r="AP24" s="98">
        <f t="shared" si="3"/>
        <v>-25.026170109999988</v>
      </c>
    </row>
    <row r="25" spans="2:42">
      <c r="B25" s="109" t="s">
        <v>17</v>
      </c>
      <c r="C25" s="165" t="s">
        <v>340</v>
      </c>
      <c r="D25" s="165" t="s">
        <v>340</v>
      </c>
      <c r="E25" s="165" t="s">
        <v>340</v>
      </c>
      <c r="F25" s="165" t="s">
        <v>340</v>
      </c>
      <c r="G25" s="165" t="s">
        <v>340</v>
      </c>
      <c r="H25" s="165" t="s">
        <v>340</v>
      </c>
      <c r="I25" s="165" t="s">
        <v>340</v>
      </c>
      <c r="J25" s="165" t="s">
        <v>340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G25" s="98">
        <v>-2.4625522800000001</v>
      </c>
      <c r="AH25" s="98">
        <v>-0.40405095999999929</v>
      </c>
      <c r="AI25" s="98">
        <v>-2.7666669600000002</v>
      </c>
      <c r="AJ25" s="98">
        <v>-2.0800162599999998</v>
      </c>
      <c r="AL25" s="98">
        <f t="shared" si="0"/>
        <v>-13.837756957999998</v>
      </c>
      <c r="AM25" s="98">
        <f t="shared" si="1"/>
        <v>-4.5854989400000008</v>
      </c>
      <c r="AN25" s="98">
        <f t="shared" si="2"/>
        <v>-3.5216505399999996</v>
      </c>
      <c r="AO25" s="98">
        <v>-13.360267319999991</v>
      </c>
      <c r="AP25" s="98">
        <f t="shared" si="3"/>
        <v>-6.0147744499999991</v>
      </c>
    </row>
    <row r="26" spans="2:42">
      <c r="B26" s="109" t="s">
        <v>30</v>
      </c>
      <c r="C26" s="165" t="s">
        <v>340</v>
      </c>
      <c r="D26" s="165" t="s">
        <v>340</v>
      </c>
      <c r="E26" s="165" t="s">
        <v>340</v>
      </c>
      <c r="F26" s="165" t="s">
        <v>340</v>
      </c>
      <c r="G26" s="165" t="s">
        <v>340</v>
      </c>
      <c r="H26" s="165" t="s">
        <v>340</v>
      </c>
      <c r="I26" s="165" t="s">
        <v>340</v>
      </c>
      <c r="J26" s="165" t="s">
        <v>340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G26" s="98">
        <v>3.009821090000008</v>
      </c>
      <c r="AH26" s="98">
        <v>13.760887969999994</v>
      </c>
      <c r="AI26" s="98">
        <v>8.1363276599999992</v>
      </c>
      <c r="AJ26" s="98">
        <v>15.33120559</v>
      </c>
      <c r="AL26" s="98">
        <f t="shared" si="0"/>
        <v>58.413816989999987</v>
      </c>
      <c r="AM26" s="98">
        <f t="shared" si="1"/>
        <v>25.903087200000712</v>
      </c>
      <c r="AN26" s="98">
        <f t="shared" si="2"/>
        <v>22.150906420000048</v>
      </c>
      <c r="AO26" s="98">
        <v>23.914208979999998</v>
      </c>
      <c r="AP26" s="98">
        <f t="shared" si="3"/>
        <v>15.995833379999997</v>
      </c>
    </row>
    <row r="27" spans="2:42">
      <c r="B27" s="101" t="s">
        <v>34</v>
      </c>
      <c r="C27" s="161" t="s">
        <v>340</v>
      </c>
      <c r="D27" s="161" t="s">
        <v>340</v>
      </c>
      <c r="E27" s="161" t="s">
        <v>340</v>
      </c>
      <c r="F27" s="161" t="s">
        <v>340</v>
      </c>
      <c r="G27" s="161" t="s">
        <v>340</v>
      </c>
      <c r="H27" s="161" t="s">
        <v>340</v>
      </c>
      <c r="I27" s="161" t="s">
        <v>340</v>
      </c>
      <c r="J27" s="161" t="s">
        <v>340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G27" s="102">
        <v>14.456225509999996</v>
      </c>
      <c r="AH27" s="102">
        <v>6.8181291000000073</v>
      </c>
      <c r="AI27" s="102">
        <v>13.892915009999999</v>
      </c>
      <c r="AJ27" s="102">
        <v>7.8233587700000005</v>
      </c>
      <c r="AL27" s="102">
        <f t="shared" si="0"/>
        <v>17.396000000000001</v>
      </c>
      <c r="AM27" s="102">
        <f t="shared" si="1"/>
        <v>18.508192999999999</v>
      </c>
      <c r="AN27" s="102">
        <f t="shared" si="2"/>
        <v>23.5528839047</v>
      </c>
      <c r="AO27" s="102">
        <v>38.881719699999991</v>
      </c>
      <c r="AP27" s="102">
        <f t="shared" si="3"/>
        <v>41.163919130000004</v>
      </c>
    </row>
    <row r="28" spans="2:42" ht="30">
      <c r="B28" s="99" t="s">
        <v>349</v>
      </c>
      <c r="C28" s="161" t="s">
        <v>340</v>
      </c>
      <c r="D28" s="161" t="s">
        <v>340</v>
      </c>
      <c r="E28" s="161" t="s">
        <v>340</v>
      </c>
      <c r="F28" s="161" t="s">
        <v>340</v>
      </c>
      <c r="G28" s="161" t="s">
        <v>340</v>
      </c>
      <c r="H28" s="161" t="s">
        <v>340</v>
      </c>
      <c r="I28" s="161" t="s">
        <v>340</v>
      </c>
      <c r="J28" s="161" t="s">
        <v>340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G28" s="102">
        <v>450.12215192999884</v>
      </c>
      <c r="AH28" s="102">
        <v>418.22069599000156</v>
      </c>
      <c r="AI28" s="102">
        <v>514.76520200000004</v>
      </c>
      <c r="AJ28" s="102">
        <v>462.26079324000023</v>
      </c>
      <c r="AL28" s="102">
        <f t="shared" si="0"/>
        <v>1119.8848132601006</v>
      </c>
      <c r="AM28" s="102">
        <f t="shared" si="1"/>
        <v>1428.9764963</v>
      </c>
      <c r="AN28" s="102">
        <f t="shared" si="2"/>
        <v>1526.8387510010011</v>
      </c>
      <c r="AO28" s="102">
        <v>1651.4695068999986</v>
      </c>
      <c r="AP28" s="102">
        <f t="shared" si="3"/>
        <v>1795.822351640001</v>
      </c>
    </row>
    <row r="29" spans="2:42">
      <c r="B29" s="113" t="s">
        <v>231</v>
      </c>
      <c r="C29" s="159" t="s">
        <v>340</v>
      </c>
      <c r="D29" s="159" t="s">
        <v>340</v>
      </c>
      <c r="E29" s="159" t="s">
        <v>340</v>
      </c>
      <c r="F29" s="159" t="s">
        <v>340</v>
      </c>
      <c r="G29" s="159" t="s">
        <v>340</v>
      </c>
      <c r="H29" s="159" t="s">
        <v>340</v>
      </c>
      <c r="I29" s="159" t="s">
        <v>340</v>
      </c>
      <c r="J29" s="159" t="s">
        <v>340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G29" s="106">
        <v>-75.777173152819614</v>
      </c>
      <c r="AH29" s="106">
        <v>-84.190681163953883</v>
      </c>
      <c r="AI29" s="106">
        <v>-64.106309137985434</v>
      </c>
      <c r="AJ29" s="106">
        <v>-78.447650062196814</v>
      </c>
      <c r="AL29" s="106">
        <f t="shared" si="0"/>
        <v>-300.84408844000012</v>
      </c>
      <c r="AM29" s="106">
        <f t="shared" si="1"/>
        <v>-356.00768179000056</v>
      </c>
      <c r="AN29" s="106">
        <f t="shared" si="2"/>
        <v>-318.74854917789997</v>
      </c>
      <c r="AO29" s="106">
        <v>-290.50753069999911</v>
      </c>
      <c r="AP29" s="106">
        <f t="shared" si="3"/>
        <v>-303.61566883984398</v>
      </c>
    </row>
    <row r="30" spans="2:42">
      <c r="B30" s="99" t="s">
        <v>36</v>
      </c>
      <c r="C30" s="161" t="s">
        <v>340</v>
      </c>
      <c r="D30" s="161" t="s">
        <v>340</v>
      </c>
      <c r="E30" s="161" t="s">
        <v>340</v>
      </c>
      <c r="F30" s="161" t="s">
        <v>340</v>
      </c>
      <c r="G30" s="161" t="s">
        <v>340</v>
      </c>
      <c r="H30" s="161" t="s">
        <v>340</v>
      </c>
      <c r="I30" s="161" t="s">
        <v>340</v>
      </c>
      <c r="J30" s="161" t="s">
        <v>340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G30" s="102">
        <v>374.34497877717911</v>
      </c>
      <c r="AH30" s="102">
        <v>334.03001482604782</v>
      </c>
      <c r="AI30" s="102">
        <v>450.65889286201462</v>
      </c>
      <c r="AJ30" s="102">
        <v>383.8131431778034</v>
      </c>
      <c r="AL30" s="102">
        <f t="shared" si="0"/>
        <v>819.04072482010042</v>
      </c>
      <c r="AM30" s="102">
        <f t="shared" si="1"/>
        <v>1073.0688145099996</v>
      </c>
      <c r="AN30" s="102">
        <f t="shared" si="2"/>
        <v>1208.0902018231011</v>
      </c>
      <c r="AO30" s="102">
        <v>1360.9619761999995</v>
      </c>
      <c r="AP30" s="102">
        <f t="shared" si="3"/>
        <v>1492.2066828001571</v>
      </c>
    </row>
    <row r="31" spans="2:42">
      <c r="B31" s="113" t="s">
        <v>83</v>
      </c>
      <c r="C31" s="159" t="s">
        <v>340</v>
      </c>
      <c r="D31" s="159" t="s">
        <v>340</v>
      </c>
      <c r="E31" s="159" t="s">
        <v>340</v>
      </c>
      <c r="F31" s="159" t="s">
        <v>340</v>
      </c>
      <c r="G31" s="159" t="s">
        <v>340</v>
      </c>
      <c r="H31" s="159" t="s">
        <v>340</v>
      </c>
      <c r="I31" s="159" t="s">
        <v>340</v>
      </c>
      <c r="J31" s="159" t="s">
        <v>340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G31" s="106">
        <v>-14.456225509999996</v>
      </c>
      <c r="AH31" s="106">
        <v>-6.8181291000000073</v>
      </c>
      <c r="AI31" s="106">
        <v>-13.892915009999999</v>
      </c>
      <c r="AJ31" s="106">
        <v>-7.8233587700000005</v>
      </c>
      <c r="AL31" s="106">
        <f t="shared" si="0"/>
        <v>-17.396000000000001</v>
      </c>
      <c r="AM31" s="106">
        <f t="shared" si="1"/>
        <v>-18.508192999999999</v>
      </c>
      <c r="AN31" s="106">
        <f t="shared" si="2"/>
        <v>-23.5528839047</v>
      </c>
      <c r="AO31" s="106">
        <v>-38.881719699999998</v>
      </c>
      <c r="AP31" s="106">
        <f t="shared" si="3"/>
        <v>-41.163919130000004</v>
      </c>
    </row>
    <row r="32" spans="2:42">
      <c r="B32" s="113" t="s">
        <v>165</v>
      </c>
      <c r="C32" s="159" t="s">
        <v>340</v>
      </c>
      <c r="D32" s="159" t="s">
        <v>340</v>
      </c>
      <c r="E32" s="159" t="s">
        <v>340</v>
      </c>
      <c r="F32" s="159" t="s">
        <v>340</v>
      </c>
      <c r="G32" s="159" t="s">
        <v>340</v>
      </c>
      <c r="H32" s="159" t="s">
        <v>340</v>
      </c>
      <c r="I32" s="159" t="s">
        <v>340</v>
      </c>
      <c r="J32" s="159" t="s">
        <v>340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G32" s="106">
        <v>-1.5969921100000199</v>
      </c>
      <c r="AH32" s="106">
        <v>-2.2223736700000014</v>
      </c>
      <c r="AI32" s="106">
        <v>-7.8195589200000004</v>
      </c>
      <c r="AJ32" s="106">
        <v>-0.66382531</v>
      </c>
      <c r="AL32" s="106">
        <f t="shared" si="0"/>
        <v>-80.878065390099977</v>
      </c>
      <c r="AM32" s="106">
        <f t="shared" si="1"/>
        <v>-83.728750000000005</v>
      </c>
      <c r="AN32" s="106">
        <f t="shared" si="2"/>
        <v>-118.16048951839996</v>
      </c>
      <c r="AO32" s="106">
        <v>-9.1914694300000086</v>
      </c>
      <c r="AP32" s="106">
        <f t="shared" si="3"/>
        <v>-12.702197980000001</v>
      </c>
    </row>
    <row r="33" spans="2:42">
      <c r="B33" s="99" t="s">
        <v>37</v>
      </c>
      <c r="C33" s="161" t="s">
        <v>340</v>
      </c>
      <c r="D33" s="161" t="s">
        <v>340</v>
      </c>
      <c r="E33" s="161" t="s">
        <v>340</v>
      </c>
      <c r="F33" s="161" t="s">
        <v>340</v>
      </c>
      <c r="G33" s="161" t="s">
        <v>340</v>
      </c>
      <c r="H33" s="161" t="s">
        <v>340</v>
      </c>
      <c r="I33" s="161" t="s">
        <v>340</v>
      </c>
      <c r="J33" s="161" t="s">
        <v>340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G33" s="102">
        <v>358.29176115717917</v>
      </c>
      <c r="AH33" s="102">
        <v>324.98951205604772</v>
      </c>
      <c r="AI33" s="102">
        <v>428.94641893201458</v>
      </c>
      <c r="AJ33" s="102">
        <v>375.32595909780349</v>
      </c>
      <c r="AL33" s="102">
        <f t="shared" si="0"/>
        <v>720.76665943000046</v>
      </c>
      <c r="AM33" s="102">
        <f t="shared" si="1"/>
        <v>970.83187150999981</v>
      </c>
      <c r="AN33" s="102">
        <f t="shared" si="2"/>
        <v>1066.3768284000012</v>
      </c>
      <c r="AO33" s="102">
        <v>1312.8887870699994</v>
      </c>
      <c r="AP33" s="102">
        <f t="shared" si="3"/>
        <v>1438.3405656901571</v>
      </c>
    </row>
    <row r="34" spans="2:42">
      <c r="B34" s="113" t="s">
        <v>38</v>
      </c>
      <c r="C34" s="159" t="s">
        <v>340</v>
      </c>
      <c r="D34" s="159" t="s">
        <v>340</v>
      </c>
      <c r="E34" s="159" t="s">
        <v>340</v>
      </c>
      <c r="F34" s="159" t="s">
        <v>340</v>
      </c>
      <c r="G34" s="159" t="s">
        <v>340</v>
      </c>
      <c r="H34" s="159" t="s">
        <v>340</v>
      </c>
      <c r="I34" s="159" t="s">
        <v>340</v>
      </c>
      <c r="J34" s="159" t="s">
        <v>340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G34" s="106">
        <v>-103.86214559999999</v>
      </c>
      <c r="AH34" s="106">
        <v>-104.46011140000002</v>
      </c>
      <c r="AI34" s="106">
        <v>-102.81302377999998</v>
      </c>
      <c r="AJ34" s="106">
        <v>-99.66857114000004</v>
      </c>
      <c r="AL34" s="106">
        <f t="shared" si="0"/>
        <v>-422.77411584800001</v>
      </c>
      <c r="AM34" s="106">
        <f t="shared" si="1"/>
        <v>-578.33548584000005</v>
      </c>
      <c r="AN34" s="106">
        <f t="shared" si="2"/>
        <v>-534.57742044999998</v>
      </c>
      <c r="AO34" s="106">
        <v>-481.01660821000002</v>
      </c>
      <c r="AP34" s="106">
        <f t="shared" si="3"/>
        <v>-427.44405469999998</v>
      </c>
    </row>
    <row r="35" spans="2:42">
      <c r="B35" s="113" t="s">
        <v>173</v>
      </c>
      <c r="C35" s="159" t="s">
        <v>340</v>
      </c>
      <c r="D35" s="159" t="s">
        <v>340</v>
      </c>
      <c r="E35" s="159" t="s">
        <v>340</v>
      </c>
      <c r="F35" s="159" t="s">
        <v>340</v>
      </c>
      <c r="G35" s="159" t="s">
        <v>340</v>
      </c>
      <c r="H35" s="159" t="s">
        <v>340</v>
      </c>
      <c r="I35" s="159" t="s">
        <v>340</v>
      </c>
      <c r="J35" s="159" t="s">
        <v>340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G35" s="106">
        <v>-1.2040466900000006</v>
      </c>
      <c r="AH35" s="106">
        <v>-5.0355124999999994</v>
      </c>
      <c r="AI35" s="106">
        <v>-0.49517345999999995</v>
      </c>
      <c r="AJ35" s="106">
        <v>-1.6011768299999998</v>
      </c>
      <c r="AL35" s="106">
        <f t="shared" si="0"/>
        <v>-0.54424684000003609</v>
      </c>
      <c r="AM35" s="106">
        <f t="shared" si="1"/>
        <v>-14.34180800000018</v>
      </c>
      <c r="AN35" s="106">
        <f t="shared" si="2"/>
        <v>-6.8918033199998607</v>
      </c>
      <c r="AO35" s="106">
        <v>-11.770212429999999</v>
      </c>
      <c r="AP35" s="106">
        <f t="shared" si="3"/>
        <v>-8.87891473</v>
      </c>
    </row>
    <row r="36" spans="2:42">
      <c r="B36" s="99" t="s">
        <v>39</v>
      </c>
      <c r="C36" s="161" t="s">
        <v>340</v>
      </c>
      <c r="D36" s="161" t="s">
        <v>340</v>
      </c>
      <c r="E36" s="161" t="s">
        <v>340</v>
      </c>
      <c r="F36" s="161" t="s">
        <v>340</v>
      </c>
      <c r="G36" s="161" t="s">
        <v>340</v>
      </c>
      <c r="H36" s="161" t="s">
        <v>340</v>
      </c>
      <c r="I36" s="161" t="s">
        <v>340</v>
      </c>
      <c r="J36" s="161" t="s">
        <v>340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G36" s="102">
        <v>253.22556886717916</v>
      </c>
      <c r="AH36" s="102">
        <v>215.49388815604777</v>
      </c>
      <c r="AI36" s="102">
        <v>325.63822169201461</v>
      </c>
      <c r="AJ36" s="102">
        <v>274.05621112780341</v>
      </c>
      <c r="AL36" s="102">
        <f t="shared" si="0"/>
        <v>297.44829674200048</v>
      </c>
      <c r="AM36" s="102">
        <f t="shared" si="1"/>
        <v>378.15457766999958</v>
      </c>
      <c r="AN36" s="102">
        <f t="shared" si="2"/>
        <v>524.9076046300014</v>
      </c>
      <c r="AO36" s="102">
        <v>820.10196642999938</v>
      </c>
      <c r="AP36" s="102">
        <f t="shared" si="3"/>
        <v>1002.0175962601571</v>
      </c>
    </row>
    <row r="37" spans="2:42">
      <c r="B37" s="113" t="s">
        <v>40</v>
      </c>
      <c r="C37" s="159" t="s">
        <v>340</v>
      </c>
      <c r="D37" s="159" t="s">
        <v>340</v>
      </c>
      <c r="E37" s="159" t="s">
        <v>340</v>
      </c>
      <c r="F37" s="159" t="s">
        <v>340</v>
      </c>
      <c r="G37" s="159" t="s">
        <v>340</v>
      </c>
      <c r="H37" s="159" t="s">
        <v>340</v>
      </c>
      <c r="I37" s="159" t="s">
        <v>340</v>
      </c>
      <c r="J37" s="159" t="s">
        <v>340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G37" s="106">
        <v>-182.62717449000002</v>
      </c>
      <c r="AH37" s="106">
        <v>-206.45023913999989</v>
      </c>
      <c r="AI37" s="106">
        <v>-185.34494982000001</v>
      </c>
      <c r="AJ37" s="106">
        <v>-206.84633195000004</v>
      </c>
      <c r="AL37" s="106">
        <f t="shared" si="0"/>
        <v>-429.92983069000013</v>
      </c>
      <c r="AM37" s="106">
        <f t="shared" si="1"/>
        <v>-794.05097300000011</v>
      </c>
      <c r="AN37" s="106">
        <f t="shared" si="2"/>
        <v>-742.77693835999935</v>
      </c>
      <c r="AO37" s="106">
        <v>-634.03133968000043</v>
      </c>
      <c r="AP37" s="106">
        <f t="shared" si="3"/>
        <v>-749.1583941099999</v>
      </c>
    </row>
    <row r="38" spans="2:42">
      <c r="B38" s="99" t="s">
        <v>41</v>
      </c>
      <c r="C38" s="161" t="s">
        <v>340</v>
      </c>
      <c r="D38" s="161" t="s">
        <v>340</v>
      </c>
      <c r="E38" s="161" t="s">
        <v>340</v>
      </c>
      <c r="F38" s="161" t="s">
        <v>340</v>
      </c>
      <c r="G38" s="161" t="s">
        <v>340</v>
      </c>
      <c r="H38" s="161" t="s">
        <v>340</v>
      </c>
      <c r="I38" s="161" t="s">
        <v>340</v>
      </c>
      <c r="J38" s="161" t="s">
        <v>340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G38" s="102">
        <v>70.598394377179147</v>
      </c>
      <c r="AH38" s="102">
        <v>9.0436490160478797</v>
      </c>
      <c r="AI38" s="102">
        <v>140.2932718720146</v>
      </c>
      <c r="AJ38" s="102">
        <v>67.209879177803373</v>
      </c>
      <c r="AL38" s="102">
        <f t="shared" si="0"/>
        <v>-132.48153394799965</v>
      </c>
      <c r="AM38" s="102">
        <f t="shared" si="1"/>
        <v>-415.89639533000053</v>
      </c>
      <c r="AN38" s="102">
        <f t="shared" si="2"/>
        <v>-217.86933372999798</v>
      </c>
      <c r="AO38" s="102">
        <v>186.07062674999895</v>
      </c>
      <c r="AP38" s="102">
        <f t="shared" si="3"/>
        <v>252.85920215015722</v>
      </c>
    </row>
    <row r="39" spans="2:42">
      <c r="B39" s="113" t="s">
        <v>232</v>
      </c>
      <c r="C39" s="159" t="s">
        <v>340</v>
      </c>
      <c r="D39" s="159" t="s">
        <v>340</v>
      </c>
      <c r="E39" s="159" t="s">
        <v>340</v>
      </c>
      <c r="F39" s="159" t="s">
        <v>340</v>
      </c>
      <c r="G39" s="159" t="s">
        <v>340</v>
      </c>
      <c r="H39" s="159" t="s">
        <v>340</v>
      </c>
      <c r="I39" s="159" t="s">
        <v>340</v>
      </c>
      <c r="J39" s="159" t="s">
        <v>340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G39" s="106">
        <v>-2.0567345900000022</v>
      </c>
      <c r="AH39" s="106">
        <v>1.9530974500000025</v>
      </c>
      <c r="AI39" s="106">
        <v>-1.34267885</v>
      </c>
      <c r="AJ39" s="106">
        <v>-0.78756076999999935</v>
      </c>
      <c r="AL39" s="106">
        <f t="shared" si="0"/>
        <v>51.153940229999996</v>
      </c>
      <c r="AM39" s="106">
        <f t="shared" si="1"/>
        <v>427.40468191000002</v>
      </c>
      <c r="AN39" s="106">
        <f t="shared" si="2"/>
        <v>4.7031443400000015</v>
      </c>
      <c r="AO39" s="106">
        <v>18.37665758</v>
      </c>
      <c r="AP39" s="106">
        <f t="shared" si="3"/>
        <v>3.8058553000000037</v>
      </c>
    </row>
    <row r="40" spans="2:42">
      <c r="B40" s="99" t="s">
        <v>233</v>
      </c>
      <c r="C40" s="161" t="s">
        <v>340</v>
      </c>
      <c r="D40" s="161" t="s">
        <v>340</v>
      </c>
      <c r="E40" s="161" t="s">
        <v>340</v>
      </c>
      <c r="F40" s="161" t="s">
        <v>340</v>
      </c>
      <c r="G40" s="161" t="s">
        <v>340</v>
      </c>
      <c r="H40" s="161" t="s">
        <v>340</v>
      </c>
      <c r="I40" s="161" t="s">
        <v>340</v>
      </c>
      <c r="J40" s="161" t="s">
        <v>340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G40" s="102">
        <v>68.541659787179128</v>
      </c>
      <c r="AH40" s="102">
        <v>10.99674646604791</v>
      </c>
      <c r="AI40" s="102">
        <v>138.9505930220146</v>
      </c>
      <c r="AJ40" s="102">
        <v>66.422318407803374</v>
      </c>
      <c r="AL40" s="102">
        <f t="shared" si="0"/>
        <v>-81.327593717999676</v>
      </c>
      <c r="AM40" s="102">
        <f t="shared" si="1"/>
        <v>11.508286579999492</v>
      </c>
      <c r="AN40" s="102">
        <f t="shared" si="2"/>
        <v>-213.16618938999795</v>
      </c>
      <c r="AO40" s="102">
        <v>204.44728432999895</v>
      </c>
      <c r="AP40" s="102">
        <f t="shared" si="3"/>
        <v>256.66505745015724</v>
      </c>
    </row>
    <row r="41" spans="2:42">
      <c r="B41" s="113" t="s">
        <v>43</v>
      </c>
      <c r="C41" s="159" t="s">
        <v>340</v>
      </c>
      <c r="D41" s="159" t="s">
        <v>340</v>
      </c>
      <c r="E41" s="159" t="s">
        <v>340</v>
      </c>
      <c r="F41" s="159" t="s">
        <v>340</v>
      </c>
      <c r="G41" s="159" t="s">
        <v>340</v>
      </c>
      <c r="H41" s="159" t="s">
        <v>340</v>
      </c>
      <c r="I41" s="159" t="s">
        <v>340</v>
      </c>
      <c r="J41" s="159" t="s">
        <v>340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G41" s="106">
        <v>31.998459123070532</v>
      </c>
      <c r="AH41" s="106">
        <v>29.048000000000002</v>
      </c>
      <c r="AI41" s="106">
        <v>32.737620632014028</v>
      </c>
      <c r="AJ41" s="106">
        <v>37.293816767803605</v>
      </c>
      <c r="AL41" s="106">
        <f t="shared" si="0"/>
        <v>6.3374669448424008</v>
      </c>
      <c r="AM41" s="106">
        <f t="shared" si="1"/>
        <v>113.70625924550031</v>
      </c>
      <c r="AN41" s="106">
        <f t="shared" si="2"/>
        <v>116.45874212768689</v>
      </c>
      <c r="AO41" s="106">
        <v>119.3</v>
      </c>
      <c r="AP41" s="106">
        <f t="shared" si="3"/>
        <v>132.91</v>
      </c>
    </row>
    <row r="42" spans="2:42" ht="30">
      <c r="B42" s="99" t="s">
        <v>291</v>
      </c>
      <c r="C42" s="161" t="s">
        <v>340</v>
      </c>
      <c r="D42" s="161" t="s">
        <v>340</v>
      </c>
      <c r="E42" s="161" t="s">
        <v>340</v>
      </c>
      <c r="F42" s="161" t="s">
        <v>340</v>
      </c>
      <c r="G42" s="161" t="s">
        <v>340</v>
      </c>
      <c r="H42" s="161" t="s">
        <v>340</v>
      </c>
      <c r="I42" s="161" t="s">
        <v>340</v>
      </c>
      <c r="J42" s="161" t="s">
        <v>340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G42" s="102">
        <v>36.543200664108596</v>
      </c>
      <c r="AH42" s="102">
        <v>-18.051253533952092</v>
      </c>
      <c r="AI42" s="102">
        <v>106.21297239000057</v>
      </c>
      <c r="AJ42" s="102">
        <v>29.128501639999769</v>
      </c>
      <c r="AL42" s="102">
        <f t="shared" si="0"/>
        <v>-87.66506066284208</v>
      </c>
      <c r="AM42" s="102">
        <f t="shared" si="1"/>
        <v>-102.19797266550086</v>
      </c>
      <c r="AN42" s="102">
        <f t="shared" si="2"/>
        <v>-329.6249315176849</v>
      </c>
      <c r="AO42" s="102">
        <v>85.147284329998953</v>
      </c>
      <c r="AP42" s="102">
        <f t="shared" si="3"/>
        <v>123.75505745015724</v>
      </c>
    </row>
    <row r="43" spans="2:42">
      <c r="B43" s="113" t="s">
        <v>286</v>
      </c>
      <c r="C43" s="159" t="s">
        <v>340</v>
      </c>
      <c r="D43" s="159" t="s">
        <v>340</v>
      </c>
      <c r="E43" s="159" t="s">
        <v>340</v>
      </c>
      <c r="F43" s="159" t="s">
        <v>340</v>
      </c>
      <c r="G43" s="159" t="s">
        <v>340</v>
      </c>
      <c r="H43" s="159" t="s">
        <v>340</v>
      </c>
      <c r="I43" s="159" t="s">
        <v>340</v>
      </c>
      <c r="J43" s="159" t="s">
        <v>340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G43" s="106">
        <v>1.5920630563390183</v>
      </c>
      <c r="AH43" s="106">
        <v>1.1587138373500014</v>
      </c>
      <c r="AI43" s="106">
        <v>6.7562279135730003</v>
      </c>
      <c r="AJ43" s="106">
        <v>7.5967398330999636E-2</v>
      </c>
      <c r="AL43" s="106">
        <f t="shared" si="0"/>
        <v>80.878065390099977</v>
      </c>
      <c r="AM43" s="106">
        <f t="shared" si="1"/>
        <v>83.728750000000005</v>
      </c>
      <c r="AN43" s="106">
        <f t="shared" si="2"/>
        <v>118.16048951839996</v>
      </c>
      <c r="AO43" s="106">
        <v>9.0920986050630077</v>
      </c>
      <c r="AP43" s="106">
        <f t="shared" si="3"/>
        <v>11.072839299121002</v>
      </c>
    </row>
    <row r="44" spans="2:42">
      <c r="B44" s="113" t="s">
        <v>312</v>
      </c>
      <c r="C44" s="159" t="s">
        <v>340</v>
      </c>
      <c r="D44" s="159" t="s">
        <v>340</v>
      </c>
      <c r="E44" s="159" t="s">
        <v>340</v>
      </c>
      <c r="F44" s="159" t="s">
        <v>340</v>
      </c>
      <c r="G44" s="159" t="s">
        <v>340</v>
      </c>
      <c r="H44" s="159" t="s">
        <v>340</v>
      </c>
      <c r="I44" s="159" t="s">
        <v>340</v>
      </c>
      <c r="J44" s="159" t="s">
        <v>340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G44" s="106">
        <v>0</v>
      </c>
      <c r="AH44" s="106">
        <v>0</v>
      </c>
      <c r="AI44" s="106">
        <v>0</v>
      </c>
      <c r="AJ44" s="106">
        <v>0</v>
      </c>
      <c r="AL44" s="106">
        <f t="shared" si="0"/>
        <v>0</v>
      </c>
      <c r="AM44" s="106">
        <f t="shared" si="1"/>
        <v>0</v>
      </c>
      <c r="AN44" s="106">
        <f t="shared" si="2"/>
        <v>0</v>
      </c>
      <c r="AO44" s="106">
        <v>-16.024000000000001</v>
      </c>
      <c r="AP44" s="106">
        <f t="shared" si="3"/>
        <v>0</v>
      </c>
    </row>
    <row r="45" spans="2:42">
      <c r="B45" s="113" t="s">
        <v>248</v>
      </c>
      <c r="C45" s="159" t="s">
        <v>340</v>
      </c>
      <c r="D45" s="159" t="s">
        <v>340</v>
      </c>
      <c r="E45" s="159" t="s">
        <v>340</v>
      </c>
      <c r="F45" s="159" t="s">
        <v>340</v>
      </c>
      <c r="G45" s="159" t="s">
        <v>340</v>
      </c>
      <c r="H45" s="159" t="s">
        <v>340</v>
      </c>
      <c r="I45" s="159" t="s">
        <v>340</v>
      </c>
      <c r="J45" s="159" t="s">
        <v>340</v>
      </c>
      <c r="K45" s="159" t="s">
        <v>340</v>
      </c>
      <c r="L45" s="159" t="s">
        <v>340</v>
      </c>
      <c r="M45" s="159" t="s">
        <v>340</v>
      </c>
      <c r="N45" s="159" t="s">
        <v>340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G45" s="115">
        <v>12.154808484431999</v>
      </c>
      <c r="AH45" s="106">
        <v>12.022619954514013</v>
      </c>
      <c r="AI45" s="106">
        <v>11.80978270716</v>
      </c>
      <c r="AJ45" s="106">
        <v>9.435023962092</v>
      </c>
      <c r="AL45" s="115">
        <f t="shared" si="0"/>
        <v>118.614</v>
      </c>
      <c r="AM45" s="115">
        <f t="shared" si="1"/>
        <v>172.36500000000001</v>
      </c>
      <c r="AN45" s="115">
        <f t="shared" si="2"/>
        <v>165.053</v>
      </c>
      <c r="AO45" s="115">
        <v>90.522697677327955</v>
      </c>
      <c r="AP45" s="115">
        <f t="shared" si="3"/>
        <v>55.065369468165009</v>
      </c>
    </row>
    <row r="46" spans="2:42">
      <c r="B46" s="113" t="s">
        <v>308</v>
      </c>
      <c r="C46" s="159" t="s">
        <v>340</v>
      </c>
      <c r="D46" s="159" t="s">
        <v>340</v>
      </c>
      <c r="E46" s="159" t="s">
        <v>340</v>
      </c>
      <c r="F46" s="159" t="s">
        <v>340</v>
      </c>
      <c r="G46" s="159" t="s">
        <v>340</v>
      </c>
      <c r="H46" s="159" t="s">
        <v>340</v>
      </c>
      <c r="I46" s="159" t="s">
        <v>340</v>
      </c>
      <c r="J46" s="159" t="s">
        <v>340</v>
      </c>
      <c r="K46" s="159" t="s">
        <v>340</v>
      </c>
      <c r="L46" s="159" t="s">
        <v>340</v>
      </c>
      <c r="M46" s="159" t="s">
        <v>340</v>
      </c>
      <c r="N46" s="159" t="s">
        <v>340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G46" s="106">
        <v>0</v>
      </c>
      <c r="AH46" s="106">
        <v>0</v>
      </c>
      <c r="AI46" s="106">
        <v>0</v>
      </c>
      <c r="AJ46" s="106">
        <v>0</v>
      </c>
      <c r="AL46" s="106">
        <f t="shared" si="0"/>
        <v>0</v>
      </c>
      <c r="AM46" s="106">
        <f t="shared" si="1"/>
        <v>12.356999999999999</v>
      </c>
      <c r="AN46" s="106">
        <f t="shared" si="2"/>
        <v>0</v>
      </c>
      <c r="AO46" s="106">
        <v>1.6802569500000002</v>
      </c>
      <c r="AP46" s="106">
        <f t="shared" si="3"/>
        <v>0</v>
      </c>
    </row>
    <row r="47" spans="2:42" ht="30">
      <c r="B47" s="113" t="s">
        <v>309</v>
      </c>
      <c r="C47" s="159" t="s">
        <v>340</v>
      </c>
      <c r="D47" s="159" t="s">
        <v>340</v>
      </c>
      <c r="E47" s="159" t="s">
        <v>340</v>
      </c>
      <c r="F47" s="159" t="s">
        <v>340</v>
      </c>
      <c r="G47" s="159" t="s">
        <v>340</v>
      </c>
      <c r="H47" s="159" t="s">
        <v>340</v>
      </c>
      <c r="I47" s="159" t="s">
        <v>340</v>
      </c>
      <c r="J47" s="159" t="s">
        <v>340</v>
      </c>
      <c r="K47" s="159" t="s">
        <v>340</v>
      </c>
      <c r="L47" s="159" t="s">
        <v>340</v>
      </c>
      <c r="M47" s="159" t="s">
        <v>340</v>
      </c>
      <c r="N47" s="159" t="s">
        <v>340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G47" s="106">
        <v>0</v>
      </c>
      <c r="AH47" s="106">
        <v>0</v>
      </c>
      <c r="AI47" s="106">
        <v>0</v>
      </c>
      <c r="AJ47" s="106">
        <v>0</v>
      </c>
      <c r="AL47" s="106">
        <f t="shared" si="0"/>
        <v>0</v>
      </c>
      <c r="AM47" s="106">
        <f t="shared" si="1"/>
        <v>84.384</v>
      </c>
      <c r="AN47" s="106">
        <f t="shared" si="2"/>
        <v>0</v>
      </c>
      <c r="AO47" s="106">
        <v>16.5993706874</v>
      </c>
      <c r="AP47" s="106">
        <f t="shared" si="3"/>
        <v>0</v>
      </c>
    </row>
    <row r="48" spans="2:42" ht="30">
      <c r="B48" s="99" t="s">
        <v>388</v>
      </c>
      <c r="C48" s="161" t="s">
        <v>340</v>
      </c>
      <c r="D48" s="161" t="s">
        <v>340</v>
      </c>
      <c r="E48" s="161" t="s">
        <v>340</v>
      </c>
      <c r="F48" s="161" t="s">
        <v>340</v>
      </c>
      <c r="G48" s="161" t="s">
        <v>340</v>
      </c>
      <c r="H48" s="161" t="s">
        <v>340</v>
      </c>
      <c r="I48" s="161" t="s">
        <v>340</v>
      </c>
      <c r="J48" s="161" t="s">
        <v>340</v>
      </c>
      <c r="K48" s="218">
        <f t="shared" ref="K48:M48" si="4">SUM(K42:K47)</f>
        <v>43.847325639999966</v>
      </c>
      <c r="L48" s="218">
        <f t="shared" si="4"/>
        <v>13.144244920000062</v>
      </c>
      <c r="M48" s="218">
        <f t="shared" si="4"/>
        <v>19.803537261499486</v>
      </c>
      <c r="N48" s="218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G48" s="102">
        <v>50.290072204879607</v>
      </c>
      <c r="AH48" s="102">
        <v>-4.869919742088058</v>
      </c>
      <c r="AI48" s="102">
        <v>124.77898301073357</v>
      </c>
      <c r="AJ48" s="102">
        <v>38.639493000422775</v>
      </c>
      <c r="AL48" s="102">
        <f t="shared" si="0"/>
        <v>111.8270047272579</v>
      </c>
      <c r="AM48" s="102">
        <f t="shared" si="1"/>
        <v>250.63677733449919</v>
      </c>
      <c r="AN48" s="102">
        <f t="shared" si="2"/>
        <v>-46.411441999284925</v>
      </c>
      <c r="AO48" s="102">
        <v>187.01770824978993</v>
      </c>
      <c r="AP48" s="102">
        <f t="shared" si="3"/>
        <v>189.89326621744326</v>
      </c>
    </row>
    <row r="49" spans="2:36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</row>
    <row r="50" spans="2:36">
      <c r="B50" s="79" t="s">
        <v>246</v>
      </c>
      <c r="C50" s="79"/>
      <c r="D50" s="79"/>
      <c r="E50" s="79"/>
      <c r="F50" s="79"/>
      <c r="G50" s="79"/>
      <c r="H50" s="79"/>
      <c r="I50" s="79"/>
      <c r="J50" s="79"/>
      <c r="K50" s="322"/>
      <c r="W50" s="72"/>
      <c r="X50" s="72"/>
      <c r="Y50" s="72"/>
      <c r="Z50" s="72"/>
      <c r="AA50" s="72"/>
      <c r="AB50" s="72"/>
      <c r="AC50" s="72"/>
      <c r="AD50" s="72"/>
      <c r="AE50" s="72"/>
      <c r="AF50" s="84"/>
      <c r="AG50" s="84"/>
      <c r="AH50" s="84"/>
      <c r="AI50" s="84"/>
      <c r="AJ50" s="84"/>
    </row>
    <row r="51" spans="2:36">
      <c r="B51" s="79" t="s">
        <v>310</v>
      </c>
      <c r="C51" s="79"/>
      <c r="D51" s="79"/>
      <c r="E51" s="79"/>
      <c r="F51" s="79"/>
      <c r="G51" s="79"/>
      <c r="H51" s="79"/>
      <c r="I51" s="79"/>
      <c r="J51" s="79"/>
    </row>
  </sheetData>
  <pageMargins left="0.511811024" right="0.511811024" top="0.78740157499999996" bottom="0.78740157499999996" header="0.31496062000000002" footer="0.31496062000000002"/>
  <ignoredErrors>
    <ignoredError sqref="AL6:AN48 AL5:AN5 AP5:AP4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J17"/>
  <sheetViews>
    <sheetView showGridLines="0" zoomScale="85" zoomScaleNormal="85" workbookViewId="0">
      <pane xSplit="2" ySplit="4" topLeftCell="X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customWidth="1" outlineLevel="1"/>
    <col min="11" max="11" width="10.7109375" customWidth="1" outlineLevel="1" collapsed="1"/>
    <col min="12" max="14" width="10.7109375" customWidth="1" outlineLevel="1"/>
  </cols>
  <sheetData>
    <row r="1" spans="2:36" ht="18.75">
      <c r="B1" s="332" t="s">
        <v>373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2:36">
      <c r="B2" s="280" t="s">
        <v>379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</row>
    <row r="3" spans="2:36"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</row>
    <row r="4" spans="2:36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238</v>
      </c>
      <c r="Q4" s="146" t="s">
        <v>244</v>
      </c>
      <c r="R4" s="146" t="s">
        <v>245</v>
      </c>
      <c r="S4" s="146" t="s">
        <v>247</v>
      </c>
      <c r="T4" s="146" t="s">
        <v>250</v>
      </c>
      <c r="U4" s="146" t="s">
        <v>257</v>
      </c>
      <c r="V4" s="146" t="s">
        <v>260</v>
      </c>
      <c r="W4" s="146" t="s">
        <v>270</v>
      </c>
      <c r="X4" s="146" t="s">
        <v>275</v>
      </c>
      <c r="Y4" s="146" t="s">
        <v>282</v>
      </c>
      <c r="Z4" s="146" t="s">
        <v>287</v>
      </c>
      <c r="AA4" s="146" t="s">
        <v>289</v>
      </c>
      <c r="AB4" s="146" t="s">
        <v>293</v>
      </c>
      <c r="AC4" s="146" t="s">
        <v>311</v>
      </c>
      <c r="AD4" s="146" t="s">
        <v>385</v>
      </c>
      <c r="AE4" s="146" t="s">
        <v>386</v>
      </c>
      <c r="AF4" s="146" t="s">
        <v>387</v>
      </c>
      <c r="AG4" s="146" t="s">
        <v>389</v>
      </c>
      <c r="AH4" s="146" t="s">
        <v>390</v>
      </c>
      <c r="AI4" s="146" t="s">
        <v>391</v>
      </c>
      <c r="AJ4" s="146" t="s">
        <v>392</v>
      </c>
    </row>
    <row r="5" spans="2:36">
      <c r="B5" s="337" t="s">
        <v>18</v>
      </c>
      <c r="C5" s="338">
        <v>263.98947304250004</v>
      </c>
      <c r="D5" s="338">
        <v>276.15209425000018</v>
      </c>
      <c r="E5" s="338">
        <v>254.51203793999991</v>
      </c>
      <c r="F5" s="338">
        <v>293.05132485000013</v>
      </c>
      <c r="G5" s="338">
        <v>279.01408486000003</v>
      </c>
      <c r="H5" s="338">
        <v>283.52920491000003</v>
      </c>
      <c r="I5" s="338">
        <v>290.69279618999997</v>
      </c>
      <c r="J5" s="338">
        <v>317.90009964999996</v>
      </c>
      <c r="K5" s="338">
        <f>'DRE Consolidada '!K8</f>
        <v>338.61771001</v>
      </c>
      <c r="L5" s="338">
        <f>'DRE Consolidada '!L8</f>
        <v>356.13438965000012</v>
      </c>
      <c r="M5" s="338">
        <f>'DRE Consolidada '!M8</f>
        <v>350.94529411999952</v>
      </c>
      <c r="N5" s="338">
        <f>'DRE Consolidada '!N8</f>
        <v>375.92525505999981</v>
      </c>
      <c r="O5" s="339">
        <f>'DRE Consolidada '!O8</f>
        <v>415.97562736000009</v>
      </c>
      <c r="P5" s="339">
        <f>'DRE Consolidada '!P8</f>
        <v>585.96810550000043</v>
      </c>
      <c r="Q5" s="339">
        <f>'DRE Consolidada '!Q8</f>
        <v>816.68334630999959</v>
      </c>
      <c r="R5" s="339">
        <f>'DRE Consolidada '!R8</f>
        <v>848.50753834000056</v>
      </c>
      <c r="S5" s="339">
        <f>'DRE Consolidada '!S8</f>
        <v>902.3801697800003</v>
      </c>
      <c r="T5" s="339">
        <f>'DRE Consolidada '!T8</f>
        <v>910.47255754998446</v>
      </c>
      <c r="U5" s="339">
        <f>'DRE Consolidada '!U8</f>
        <v>905.23647253001582</v>
      </c>
      <c r="V5" s="339">
        <f>'DRE Consolidada '!V8</f>
        <v>845.14093029999844</v>
      </c>
      <c r="W5" s="339">
        <f>'DRE Consolidada '!W8</f>
        <v>954.42228289000127</v>
      </c>
      <c r="X5" s="339">
        <f>'DRE Consolidada '!X8</f>
        <v>932.42418522999981</v>
      </c>
      <c r="Y5" s="339">
        <f>'DRE Consolidada '!Y8</f>
        <v>940.40707884999767</v>
      </c>
      <c r="Z5" s="339">
        <f>'DRE Consolidada '!Z8</f>
        <v>905.68607525000175</v>
      </c>
      <c r="AA5" s="339">
        <f>'DRE Consolidada '!AA8</f>
        <v>990.71494344999962</v>
      </c>
      <c r="AB5" s="339">
        <f>'DRE Consolidada '!AB8</f>
        <v>977.00212125000064</v>
      </c>
      <c r="AC5" s="339">
        <f>'DRE Consolidada '!AC8</f>
        <v>938.27857173000109</v>
      </c>
      <c r="AD5" s="339">
        <v>895.38250285999993</v>
      </c>
      <c r="AE5" s="339">
        <f>'DRE Consolidada '!AE8</f>
        <v>1040.1217905799999</v>
      </c>
      <c r="AF5" s="339">
        <f>'DRE Consolidada '!AF8</f>
        <v>1005.3398492200006</v>
      </c>
      <c r="AG5" s="339">
        <f>'DRE Consolidada '!AG8</f>
        <v>1005.9151693699989</v>
      </c>
      <c r="AH5" s="339">
        <f>'DRE Consolidada '!AH8</f>
        <v>972.31992930000115</v>
      </c>
      <c r="AI5" s="339">
        <f>'DRE Consolidada '!AI8</f>
        <v>1120.40276784</v>
      </c>
      <c r="AJ5" s="339">
        <f>'DRE Consolidada '!AJ8</f>
        <v>1050.0492925999999</v>
      </c>
    </row>
    <row r="6" spans="2:36" collapsed="1">
      <c r="B6" s="334" t="s">
        <v>383</v>
      </c>
      <c r="C6" s="335">
        <v>88.385130892500015</v>
      </c>
      <c r="D6" s="335">
        <v>49.600872458205387</v>
      </c>
      <c r="E6" s="335">
        <v>60.091064309999965</v>
      </c>
      <c r="F6" s="335">
        <v>49.616144415016556</v>
      </c>
      <c r="G6" s="335">
        <v>94.521297280000041</v>
      </c>
      <c r="H6" s="335">
        <v>54.915884047921161</v>
      </c>
      <c r="I6" s="335">
        <v>75.133459624490413</v>
      </c>
      <c r="J6" s="335">
        <v>58.48410085528139</v>
      </c>
      <c r="K6" s="335">
        <f>'DRE Consolidada '!K30</f>
        <v>118.24933482999997</v>
      </c>
      <c r="L6" s="335">
        <f>'DRE Consolidada '!L30</f>
        <v>91.749452220000066</v>
      </c>
      <c r="M6" s="335">
        <f>'DRE Consolidada '!M30</f>
        <v>99.835709321499522</v>
      </c>
      <c r="N6" s="335">
        <f>'DRE Consolidada '!N30-4.946</f>
        <v>60.533908560000171</v>
      </c>
      <c r="O6" s="336">
        <f>'DRE Consolidada '!O30</f>
        <v>146.45948886010018</v>
      </c>
      <c r="P6" s="336">
        <f>'DRE Consolidada '!P30</f>
        <v>169.15852096000037</v>
      </c>
      <c r="Q6" s="336">
        <f>'DRE Consolidada '!Q30-118.7</f>
        <v>225.57143479999974</v>
      </c>
      <c r="R6" s="336">
        <f>'DRE Consolidada '!R30</f>
        <v>159.1512802000002</v>
      </c>
      <c r="S6" s="336">
        <f>'DRE Consolidada '!S30</f>
        <v>339.05434605000028</v>
      </c>
      <c r="T6" s="336">
        <f>'DRE Consolidada '!T30</f>
        <v>272.60467679998499</v>
      </c>
      <c r="U6" s="336">
        <f>'DRE Consolidada '!U30</f>
        <v>282.74247203001613</v>
      </c>
      <c r="V6" s="336">
        <f>'DRE Consolidada '!V30</f>
        <v>178.66731962999819</v>
      </c>
      <c r="W6" s="336">
        <f>'DRE Consolidada '!W30</f>
        <v>352.6120909163015</v>
      </c>
      <c r="X6" s="336">
        <f>'DRE Consolidada '!X30</f>
        <v>278.69300032759952</v>
      </c>
      <c r="Y6" s="336">
        <f>'DRE Consolidada '!Y30</f>
        <v>308.15648908619789</v>
      </c>
      <c r="Z6" s="336">
        <f>'DRE Consolidada '!Z30</f>
        <v>268.62862149300224</v>
      </c>
      <c r="AA6" s="336">
        <f>'DRE Consolidada '!AA30</f>
        <v>395.86014220999954</v>
      </c>
      <c r="AB6" s="336">
        <f>'DRE Consolidada '!AB30</f>
        <v>337.42466004000067</v>
      </c>
      <c r="AC6" s="336">
        <f>'DRE Consolidada '!AC30</f>
        <v>333.93242811000084</v>
      </c>
      <c r="AD6" s="336">
        <v>293.742690549999</v>
      </c>
      <c r="AE6" s="336">
        <f>'DRE Consolidada '!AE30</f>
        <v>431.63626504067156</v>
      </c>
      <c r="AF6" s="336">
        <f>'DRE Consolidada '!AF30</f>
        <v>352.19542415625858</v>
      </c>
      <c r="AG6" s="336">
        <f>'DRE Consolidada '!AG30</f>
        <v>374.34497877717911</v>
      </c>
      <c r="AH6" s="336">
        <f>'DRE Consolidada '!AH30</f>
        <v>334.03001482604782</v>
      </c>
      <c r="AI6" s="336">
        <f>'DRE Consolidada '!AI30</f>
        <v>450.65889286201462</v>
      </c>
      <c r="AJ6" s="336">
        <f>'DRE Consolidada '!AJ30</f>
        <v>383.8131431778034</v>
      </c>
    </row>
    <row r="7" spans="2:36">
      <c r="B7" s="340" t="s">
        <v>277</v>
      </c>
      <c r="C7" s="341">
        <f t="shared" ref="C7" si="0">IFERROR(C6/C$5,"n.a.")</f>
        <v>0.33480551278751469</v>
      </c>
      <c r="D7" s="341">
        <f t="shared" ref="D7" si="1">IFERROR(D6/D$5,"n.a.")</f>
        <v>0.17961432663734128</v>
      </c>
      <c r="E7" s="341">
        <f t="shared" ref="E7" si="2">IFERROR(E6/E$5,"n.a.")</f>
        <v>0.23610303385400641</v>
      </c>
      <c r="F7" s="341">
        <f t="shared" ref="F7" si="3">IFERROR(F6/F$5,"n.a.")</f>
        <v>0.16930871901163677</v>
      </c>
      <c r="G7" s="341">
        <f t="shared" ref="G7" si="4">IFERROR(G6/G$5,"n.a.")</f>
        <v>0.33876890956034594</v>
      </c>
      <c r="H7" s="341">
        <f t="shared" ref="H7" si="5">IFERROR(H6/H$5,"n.a.")</f>
        <v>0.1936868692780801</v>
      </c>
      <c r="I7" s="341">
        <f t="shared" ref="I7" si="6">IFERROR(I6/I$5,"n.a.")</f>
        <v>0.25846343841070751</v>
      </c>
      <c r="J7" s="341">
        <f t="shared" ref="J7" si="7">IFERROR(J6/J$5,"n.a.")</f>
        <v>0.18397006141133934</v>
      </c>
      <c r="K7" s="341">
        <f>IFERROR(K6/K$5,"n.a.")</f>
        <v>0.34921190278709241</v>
      </c>
      <c r="L7" s="341">
        <f t="shared" ref="L7" si="8">IFERROR(L6/L$5,"n.a.")</f>
        <v>0.25762592685915309</v>
      </c>
      <c r="M7" s="341">
        <f t="shared" ref="M7" si="9">IFERROR(M6/M$5,"n.a.")</f>
        <v>0.28447655801123939</v>
      </c>
      <c r="N7" s="341">
        <f t="shared" ref="N7" si="10">IFERROR(N6/N$5,"n.a.")</f>
        <v>0.16102644806435953</v>
      </c>
      <c r="O7" s="342">
        <f t="shared" ref="O7" si="11">IFERROR(O6/O$5,"n.a.")</f>
        <v>0.35208670707370299</v>
      </c>
      <c r="P7" s="342">
        <f t="shared" ref="P7" si="12">IFERROR(P6/P$5,"n.a.")</f>
        <v>0.28868213025973349</v>
      </c>
      <c r="Q7" s="342">
        <f t="shared" ref="Q7" si="13">IFERROR(Q6/Q$5,"n.a.")</f>
        <v>0.27620427895241606</v>
      </c>
      <c r="R7" s="342">
        <f t="shared" ref="R7" si="14">IFERROR(R6/R$5,"n.a.")</f>
        <v>0.18756613584289408</v>
      </c>
      <c r="S7" s="342">
        <f t="shared" ref="S7" si="15">IFERROR(S6/S$5,"n.a.")</f>
        <v>0.37573337425251874</v>
      </c>
      <c r="T7" s="342">
        <f t="shared" ref="T7" si="16">IFERROR(T6/T$5,"n.a.")</f>
        <v>0.29941009703086974</v>
      </c>
      <c r="U7" s="342">
        <f t="shared" ref="U7" si="17">IFERROR(U6/U$5,"n.a.")</f>
        <v>0.31234100769248552</v>
      </c>
      <c r="V7" s="342">
        <f t="shared" ref="V7" si="18">IFERROR(V6/V$5,"n.a.")</f>
        <v>0.21140535646117259</v>
      </c>
      <c r="W7" s="342">
        <f t="shared" ref="W7" si="19">IFERROR(W6/W$5,"n.a.")</f>
        <v>0.36945081567939525</v>
      </c>
      <c r="X7" s="342">
        <f t="shared" ref="X7" si="20">IFERROR(X6/X$5,"n.a.")</f>
        <v>0.2988907889158352</v>
      </c>
      <c r="Y7" s="342">
        <f t="shared" ref="Y7" si="21">IFERROR(Y6/Y$5,"n.a.")</f>
        <v>0.32768414446968586</v>
      </c>
      <c r="Z7" s="342">
        <f t="shared" ref="Z7" si="22">IFERROR(Z6/Z$5,"n.a.")</f>
        <v>0.29660235354601333</v>
      </c>
      <c r="AA7" s="342">
        <f t="shared" ref="AA7" si="23">IFERROR(AA6/AA$5,"n.a.")</f>
        <v>0.39957017387007671</v>
      </c>
      <c r="AB7" s="342">
        <f t="shared" ref="AB7" si="24">IFERROR(AB6/AB$5,"n.a.")</f>
        <v>0.34536737710281656</v>
      </c>
      <c r="AC7" s="342">
        <f t="shared" ref="AC7:AD7" si="25">IFERROR(AC6/AC$5,"n.a.")</f>
        <v>0.35589902420375552</v>
      </c>
      <c r="AD7" s="342">
        <f t="shared" si="25"/>
        <v>0.32806391638404392</v>
      </c>
      <c r="AE7" s="342">
        <f t="shared" ref="AE7" si="26">IFERROR(AE6/AE$5,"n.a.")</f>
        <v>0.41498627271329402</v>
      </c>
      <c r="AF7" s="342">
        <f t="shared" ref="AF7:AG7" si="27">IFERROR(AF6/AF$5,"n.a.")</f>
        <v>0.35032474285139664</v>
      </c>
      <c r="AG7" s="342">
        <f t="shared" si="27"/>
        <v>0.37214368584542773</v>
      </c>
      <c r="AH7" s="342">
        <f t="shared" ref="AH7:AI7" si="28">IFERROR(AH6/AH$5,"n.a.")</f>
        <v>0.34353920428898838</v>
      </c>
      <c r="AI7" s="342">
        <f t="shared" si="28"/>
        <v>0.40222936411593307</v>
      </c>
      <c r="AJ7" s="342">
        <f t="shared" ref="AJ7" si="29">IFERROR(AJ6/AJ$5,"n.a.")</f>
        <v>0.36551916741684914</v>
      </c>
    </row>
    <row r="8" spans="2:36" collapsed="1">
      <c r="B8" s="334" t="s">
        <v>278</v>
      </c>
      <c r="C8" s="335">
        <v>-19.077000000000002</v>
      </c>
      <c r="D8" s="335">
        <v>-19.663</v>
      </c>
      <c r="E8" s="335">
        <v>-21.315999999999999</v>
      </c>
      <c r="F8" s="335">
        <v>-23.283000000000001</v>
      </c>
      <c r="G8" s="335">
        <v>-19.996815060000017</v>
      </c>
      <c r="H8" s="335">
        <v>-21.194303400000067</v>
      </c>
      <c r="I8" s="335">
        <v>-25.687350940000094</v>
      </c>
      <c r="J8" s="335">
        <v>-23.871381339999729</v>
      </c>
      <c r="K8" s="335">
        <v>-23.17</v>
      </c>
      <c r="L8" s="335">
        <v>-21.735999999999997</v>
      </c>
      <c r="M8" s="335">
        <v>-24.634999999999998</v>
      </c>
      <c r="N8" s="335">
        <v>-26.721000000000004</v>
      </c>
      <c r="O8" s="336">
        <v>-31.95</v>
      </c>
      <c r="P8" s="336">
        <v>-44.98899999999999</v>
      </c>
      <c r="Q8" s="336">
        <v>-94.344000000000008</v>
      </c>
      <c r="R8" s="336">
        <v>-82.804000000000016</v>
      </c>
      <c r="S8" s="336">
        <v>-88.102000000000004</v>
      </c>
      <c r="T8" s="336">
        <v>-83.716000000000008</v>
      </c>
      <c r="U8" s="336">
        <v>-93.311000000000007</v>
      </c>
      <c r="V8" s="336">
        <v>-78.282000000000011</v>
      </c>
      <c r="W8" s="336">
        <v>-72.562899000000002</v>
      </c>
      <c r="X8" s="336">
        <v>-72.216201327600004</v>
      </c>
      <c r="Y8" s="336">
        <v>-72.158058441099996</v>
      </c>
      <c r="Z8" s="336">
        <v>-67.643185568600003</v>
      </c>
      <c r="AA8" s="336">
        <v>-68.919595430000001</v>
      </c>
      <c r="AB8" s="336">
        <v>-68.467129850000006</v>
      </c>
      <c r="AC8" s="336">
        <v>-69.094826889999894</v>
      </c>
      <c r="AD8" s="336">
        <v>-69.622443329999996</v>
      </c>
      <c r="AE8" s="336">
        <v>-71.138013979999997</v>
      </c>
      <c r="AF8" s="336">
        <v>-70.77798602</v>
      </c>
      <c r="AG8" s="336">
        <v>-71.305999999999997</v>
      </c>
      <c r="AH8" s="336">
        <v>-72.147000000000048</v>
      </c>
      <c r="AI8" s="336">
        <v>-74.727747449999896</v>
      </c>
      <c r="AJ8" s="336">
        <v>-68.886252550000108</v>
      </c>
    </row>
    <row r="9" spans="2:36">
      <c r="B9" s="340" t="s">
        <v>279</v>
      </c>
      <c r="C9" s="341">
        <f t="shared" ref="C9" si="30">IFERROR(C8/C$5,"n.a.")</f>
        <v>-7.2264245161505994E-2</v>
      </c>
      <c r="D9" s="341">
        <f t="shared" ref="D9" si="31">IFERROR(D8/D$5,"n.a.")</f>
        <v>-7.1203515777791312E-2</v>
      </c>
      <c r="E9" s="341">
        <f t="shared" ref="E9" si="32">IFERROR(E8/E$5,"n.a.")</f>
        <v>-8.3752423549510652E-2</v>
      </c>
      <c r="F9" s="341">
        <f t="shared" ref="F9" si="33">IFERROR(F8/F$5,"n.a.")</f>
        <v>-7.9450246511997613E-2</v>
      </c>
      <c r="G9" s="341">
        <f t="shared" ref="G9" si="34">IFERROR(G8/G$5,"n.a.")</f>
        <v>-7.1669554137504393E-2</v>
      </c>
      <c r="H9" s="341">
        <f t="shared" ref="H9" si="35">IFERROR(H8/H$5,"n.a.")</f>
        <v>-7.4751747026299178E-2</v>
      </c>
      <c r="I9" s="341">
        <f t="shared" ref="I9" si="36">IFERROR(I8/I$5,"n.a.")</f>
        <v>-8.8365970112346925E-2</v>
      </c>
      <c r="J9" s="341">
        <f t="shared" ref="J9" si="37">IFERROR(J8/J$5,"n.a.")</f>
        <v>-7.5090826854982182E-2</v>
      </c>
      <c r="K9" s="341">
        <f>IFERROR(K8/K$5,"n.a.")</f>
        <v>-6.8425245682855004E-2</v>
      </c>
      <c r="L9" s="341">
        <f t="shared" ref="L9" si="38">IFERROR(L8/L$5,"n.a.")</f>
        <v>-6.1033139825001421E-2</v>
      </c>
      <c r="M9" s="341">
        <f t="shared" ref="M9" si="39">IFERROR(M8/M$5,"n.a.")</f>
        <v>-7.0196125757356634E-2</v>
      </c>
      <c r="N9" s="341">
        <f t="shared" ref="N9" si="40">IFERROR(N8/N$5,"n.a.")</f>
        <v>-7.1080619459140029E-2</v>
      </c>
      <c r="O9" s="342">
        <f t="shared" ref="O9" si="41">IFERROR(O8/O$5,"n.a.")</f>
        <v>-7.680738461234253E-2</v>
      </c>
      <c r="P9" s="342">
        <f t="shared" ref="P9" si="42">IFERROR(P8/P$5,"n.a.")</f>
        <v>-7.6777216332638704E-2</v>
      </c>
      <c r="Q9" s="342">
        <f t="shared" ref="Q9" si="43">IFERROR(Q8/Q$5,"n.a.")</f>
        <v>-0.11552090590101072</v>
      </c>
      <c r="R9" s="342">
        <f t="shared" ref="R9" si="44">IFERROR(R8/R$5,"n.a.")</f>
        <v>-9.7587818915546395E-2</v>
      </c>
      <c r="S9" s="342">
        <f t="shared" ref="S9" si="45">IFERROR(S8/S$5,"n.a.")</f>
        <v>-9.7632907892334572E-2</v>
      </c>
      <c r="T9" s="342">
        <f t="shared" ref="T9" si="46">IFERROR(T8/T$5,"n.a.")</f>
        <v>-9.194785642444149E-2</v>
      </c>
      <c r="U9" s="342">
        <f t="shared" ref="U9" si="47">IFERROR(U8/U$5,"n.a.")</f>
        <v>-0.10307914322012252</v>
      </c>
      <c r="V9" s="342">
        <f t="shared" ref="V9" si="48">IFERROR(V8/V$5,"n.a.")</f>
        <v>-9.2625971827222195E-2</v>
      </c>
      <c r="W9" s="342">
        <f t="shared" ref="W9" si="49">IFERROR(W8/W$5,"n.a.")</f>
        <v>-7.6028085576835797E-2</v>
      </c>
      <c r="X9" s="342">
        <f t="shared" ref="X9" si="50">IFERROR(X8/X$5,"n.a.")</f>
        <v>-7.7449944426083855E-2</v>
      </c>
      <c r="Y9" s="342">
        <f t="shared" ref="Y9" si="51">IFERROR(Y8/Y$5,"n.a.")</f>
        <v>-7.6730662777805159E-2</v>
      </c>
      <c r="Z9" s="342">
        <f t="shared" ref="Z9" si="52">IFERROR(Z8/Z$5,"n.a.")</f>
        <v>-7.4687231500084689E-2</v>
      </c>
      <c r="AA9" s="342">
        <f t="shared" ref="AA9" si="53">IFERROR(AA8/AA$5,"n.a.")</f>
        <v>-6.9565515172304762E-2</v>
      </c>
      <c r="AB9" s="342">
        <f t="shared" ref="AB9" si="54">IFERROR(AB8/AB$5,"n.a.")</f>
        <v>-7.0078793444584814E-2</v>
      </c>
      <c r="AC9" s="342">
        <f t="shared" ref="AC9:AD9" si="55">IFERROR(AC8/AC$5,"n.a.")</f>
        <v>-7.3639992398635543E-2</v>
      </c>
      <c r="AD9" s="342">
        <f t="shared" si="55"/>
        <v>-7.7757207794003552E-2</v>
      </c>
      <c r="AE9" s="342">
        <f t="shared" ref="AE9" si="56">IFERROR(AE8/AE$5,"n.a.")</f>
        <v>-6.8393927157637494E-2</v>
      </c>
      <c r="AF9" s="342">
        <f t="shared" ref="AF9:AG9" si="57">IFERROR(AF8/AF$5,"n.a.")</f>
        <v>-7.0402049689877066E-2</v>
      </c>
      <c r="AG9" s="342">
        <f t="shared" si="57"/>
        <v>-7.0886693203621426E-2</v>
      </c>
      <c r="AH9" s="342">
        <f t="shared" ref="AH9:AI9" si="58">IFERROR(AH8/AH$5,"n.a.")</f>
        <v>-7.420088576394869E-2</v>
      </c>
      <c r="AI9" s="342">
        <f t="shared" si="58"/>
        <v>-6.6697217817540635E-2</v>
      </c>
      <c r="AJ9" s="342">
        <f t="shared" ref="AJ9" si="59">IFERROR(AJ8/AJ$5,"n.a.")</f>
        <v>-6.5602875060686572E-2</v>
      </c>
    </row>
    <row r="10" spans="2:36" collapsed="1">
      <c r="B10" s="334" t="s">
        <v>374</v>
      </c>
      <c r="C10" s="335">
        <v>69.308130892500017</v>
      </c>
      <c r="D10" s="335">
        <v>29.937872458205387</v>
      </c>
      <c r="E10" s="335">
        <v>38.775064309999962</v>
      </c>
      <c r="F10" s="335">
        <v>26.333144415016555</v>
      </c>
      <c r="G10" s="335">
        <v>74.524482220000024</v>
      </c>
      <c r="H10" s="335">
        <v>33.721580647921094</v>
      </c>
      <c r="I10" s="335">
        <v>49.446108684490319</v>
      </c>
      <c r="J10" s="335">
        <v>34.612719515281661</v>
      </c>
      <c r="K10" s="335">
        <f>SUM(K6,K8)</f>
        <v>95.079334829999965</v>
      </c>
      <c r="L10" s="335">
        <f t="shared" ref="L10:AD10" si="60">SUM(L6,L8)</f>
        <v>70.013452220000062</v>
      </c>
      <c r="M10" s="335">
        <f t="shared" si="60"/>
        <v>75.200709321499517</v>
      </c>
      <c r="N10" s="335">
        <f t="shared" si="60"/>
        <v>33.812908560000167</v>
      </c>
      <c r="O10" s="336">
        <f t="shared" si="60"/>
        <v>114.50948886010018</v>
      </c>
      <c r="P10" s="336">
        <f t="shared" si="60"/>
        <v>124.16952096000038</v>
      </c>
      <c r="Q10" s="336">
        <f t="shared" si="60"/>
        <v>131.22743479999974</v>
      </c>
      <c r="R10" s="336">
        <f t="shared" si="60"/>
        <v>76.347280200000185</v>
      </c>
      <c r="S10" s="336">
        <f t="shared" si="60"/>
        <v>250.95234605000027</v>
      </c>
      <c r="T10" s="336">
        <f t="shared" si="60"/>
        <v>188.88867679998498</v>
      </c>
      <c r="U10" s="336">
        <f t="shared" si="60"/>
        <v>189.43147203001612</v>
      </c>
      <c r="V10" s="336">
        <f t="shared" si="60"/>
        <v>100.38531962999818</v>
      </c>
      <c r="W10" s="336">
        <f t="shared" si="60"/>
        <v>280.04919191630148</v>
      </c>
      <c r="X10" s="336">
        <f t="shared" si="60"/>
        <v>206.47679899999952</v>
      </c>
      <c r="Y10" s="336">
        <f t="shared" si="60"/>
        <v>235.9984306450979</v>
      </c>
      <c r="Z10" s="336">
        <f t="shared" si="60"/>
        <v>200.98543592440222</v>
      </c>
      <c r="AA10" s="336">
        <f t="shared" si="60"/>
        <v>326.94054677999952</v>
      </c>
      <c r="AB10" s="336">
        <f t="shared" si="60"/>
        <v>268.95753019000068</v>
      </c>
      <c r="AC10" s="336">
        <f t="shared" si="60"/>
        <v>264.83760122000092</v>
      </c>
      <c r="AD10" s="336">
        <f t="shared" si="60"/>
        <v>224.12024721999899</v>
      </c>
      <c r="AE10" s="336">
        <f t="shared" ref="AE10" si="61">SUM(AE6,AE8)</f>
        <v>360.49825106067158</v>
      </c>
      <c r="AF10" s="336">
        <f t="shared" ref="AF10:AG10" si="62">SUM(AF6,AF8)</f>
        <v>281.41743813625857</v>
      </c>
      <c r="AG10" s="336">
        <f t="shared" si="62"/>
        <v>303.03897877717912</v>
      </c>
      <c r="AH10" s="336">
        <f t="shared" ref="AH10" si="63">SUM(AH6,AH8)</f>
        <v>261.88301482604777</v>
      </c>
      <c r="AI10" s="336">
        <f>SUM(AI6,AI8)</f>
        <v>375.93114541201476</v>
      </c>
      <c r="AJ10" s="336">
        <f>SUM(AJ6,AJ8)</f>
        <v>314.92689062780329</v>
      </c>
    </row>
    <row r="11" spans="2:36">
      <c r="B11" s="340" t="s">
        <v>277</v>
      </c>
      <c r="C11" s="341">
        <f t="shared" ref="C11:J11" si="64">IFERROR(C10/C$5,"n.a.")</f>
        <v>0.26254126762600871</v>
      </c>
      <c r="D11" s="341">
        <f t="shared" si="64"/>
        <v>0.10841081085954997</v>
      </c>
      <c r="E11" s="341">
        <f t="shared" si="64"/>
        <v>0.15235061030449573</v>
      </c>
      <c r="F11" s="341">
        <f t="shared" si="64"/>
        <v>8.9858472499639144E-2</v>
      </c>
      <c r="G11" s="341">
        <f t="shared" si="64"/>
        <v>0.26709935542284158</v>
      </c>
      <c r="H11" s="341">
        <f t="shared" si="64"/>
        <v>0.11893512225178091</v>
      </c>
      <c r="I11" s="341">
        <f t="shared" si="64"/>
        <v>0.17009746829836062</v>
      </c>
      <c r="J11" s="341">
        <f t="shared" si="64"/>
        <v>0.10887923455635716</v>
      </c>
      <c r="K11" s="341">
        <f>IFERROR(K10/K$5,"n.a.")</f>
        <v>0.28078665710423739</v>
      </c>
      <c r="L11" s="341">
        <f t="shared" ref="L11:AC11" si="65">IFERROR(L10/L$5,"n.a.")</f>
        <v>0.19659278703415167</v>
      </c>
      <c r="M11" s="341">
        <f t="shared" si="65"/>
        <v>0.21428043225388277</v>
      </c>
      <c r="N11" s="341">
        <f t="shared" si="65"/>
        <v>8.9945828605219505E-2</v>
      </c>
      <c r="O11" s="342">
        <f t="shared" si="65"/>
        <v>0.27527932246136044</v>
      </c>
      <c r="P11" s="342">
        <f t="shared" si="65"/>
        <v>0.21190491392709479</v>
      </c>
      <c r="Q11" s="342">
        <f t="shared" si="65"/>
        <v>0.16068337305140537</v>
      </c>
      <c r="R11" s="342">
        <f t="shared" si="65"/>
        <v>8.9978316927347687E-2</v>
      </c>
      <c r="S11" s="342">
        <f t="shared" si="65"/>
        <v>0.27810046636018421</v>
      </c>
      <c r="T11" s="342">
        <f t="shared" si="65"/>
        <v>0.20746224060642826</v>
      </c>
      <c r="U11" s="342">
        <f t="shared" si="65"/>
        <v>0.209261864472363</v>
      </c>
      <c r="V11" s="342">
        <f t="shared" si="65"/>
        <v>0.11877938463395039</v>
      </c>
      <c r="W11" s="342">
        <f t="shared" si="65"/>
        <v>0.29342273010255943</v>
      </c>
      <c r="X11" s="342">
        <f t="shared" si="65"/>
        <v>0.22144084448975138</v>
      </c>
      <c r="Y11" s="342">
        <f t="shared" si="65"/>
        <v>0.2509534816918807</v>
      </c>
      <c r="Z11" s="342">
        <f t="shared" si="65"/>
        <v>0.22191512204592861</v>
      </c>
      <c r="AA11" s="342">
        <f t="shared" si="65"/>
        <v>0.3300046586977719</v>
      </c>
      <c r="AB11" s="342">
        <f t="shared" si="65"/>
        <v>0.27528858365823178</v>
      </c>
      <c r="AC11" s="342">
        <f t="shared" si="65"/>
        <v>0.28225903180511996</v>
      </c>
      <c r="AD11" s="342">
        <f t="shared" ref="AD11:AE11" si="66">IFERROR(AD10/AD$5,"n.a.")</f>
        <v>0.25030670859004034</v>
      </c>
      <c r="AE11" s="342">
        <f t="shared" si="66"/>
        <v>0.34659234555565654</v>
      </c>
      <c r="AF11" s="342">
        <f t="shared" ref="AF11:AG11" si="67">IFERROR(AF10/AF$5,"n.a.")</f>
        <v>0.27992269316151958</v>
      </c>
      <c r="AG11" s="342">
        <f t="shared" si="67"/>
        <v>0.30125699264180633</v>
      </c>
      <c r="AH11" s="342">
        <f t="shared" ref="AH11:AI11" si="68">IFERROR(AH10/AH$5,"n.a.")</f>
        <v>0.2693383185250397</v>
      </c>
      <c r="AI11" s="342">
        <f t="shared" si="68"/>
        <v>0.33553214629839251</v>
      </c>
      <c r="AJ11" s="342">
        <f t="shared" ref="AJ11" si="69">IFERROR(AJ10/AJ$5,"n.a.")</f>
        <v>0.29991629235616257</v>
      </c>
    </row>
    <row r="12" spans="2:36" collapsed="1">
      <c r="B12" s="1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  <c r="AI12" s="344"/>
      <c r="AJ12" s="344"/>
    </row>
    <row r="13" spans="2:36">
      <c r="B13" s="345" t="s">
        <v>339</v>
      </c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  <c r="AI13" s="347"/>
      <c r="AJ13" s="347"/>
    </row>
    <row r="14" spans="2:36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70">SUM(C5:F5)</f>
        <v>1087.7049300825001</v>
      </c>
      <c r="G14" s="181">
        <f t="shared" si="70"/>
        <v>1102.7295419000002</v>
      </c>
      <c r="H14" s="181">
        <f t="shared" si="70"/>
        <v>1110.1066525600002</v>
      </c>
      <c r="I14" s="181">
        <f t="shared" si="70"/>
        <v>1146.28741081</v>
      </c>
      <c r="J14" s="181">
        <f t="shared" si="70"/>
        <v>1171.13618561</v>
      </c>
      <c r="K14" s="181">
        <f t="shared" si="70"/>
        <v>1230.7398107599997</v>
      </c>
      <c r="L14" s="181">
        <f t="shared" si="70"/>
        <v>1303.3449955000001</v>
      </c>
      <c r="M14" s="181">
        <f t="shared" si="70"/>
        <v>1363.5974934299998</v>
      </c>
      <c r="N14" s="181">
        <f t="shared" si="70"/>
        <v>1421.6226488399993</v>
      </c>
      <c r="O14" s="181">
        <f t="shared" si="70"/>
        <v>1498.9805661899995</v>
      </c>
      <c r="P14" s="181">
        <f t="shared" si="70"/>
        <v>1728.8142820399999</v>
      </c>
      <c r="Q14" s="181">
        <f t="shared" si="70"/>
        <v>2194.5523342299998</v>
      </c>
      <c r="R14" s="181">
        <f t="shared" si="70"/>
        <v>2667.1346175100007</v>
      </c>
      <c r="S14" s="181">
        <f t="shared" si="70"/>
        <v>3153.539159930001</v>
      </c>
      <c r="T14" s="181">
        <f t="shared" si="70"/>
        <v>3478.0436119799851</v>
      </c>
      <c r="U14" s="181">
        <f t="shared" si="70"/>
        <v>3566.5967382000008</v>
      </c>
      <c r="V14" s="181">
        <f t="shared" si="70"/>
        <v>3563.2301301599991</v>
      </c>
      <c r="W14" s="181">
        <f t="shared" si="70"/>
        <v>3615.2722432700002</v>
      </c>
      <c r="X14" s="181">
        <f t="shared" si="70"/>
        <v>3637.2238709500152</v>
      </c>
      <c r="Y14" s="181">
        <f t="shared" si="70"/>
        <v>3672.394477269997</v>
      </c>
      <c r="Z14" s="181">
        <f t="shared" si="70"/>
        <v>3732.9396222200003</v>
      </c>
      <c r="AA14" s="181">
        <f t="shared" si="70"/>
        <v>3769.232282779999</v>
      </c>
      <c r="AB14" s="181">
        <f t="shared" si="70"/>
        <v>3813.8102187999998</v>
      </c>
      <c r="AC14" s="181">
        <f t="shared" ref="AC14:AJ14" si="71">SUM(Z5:AC5)</f>
        <v>3811.681711680003</v>
      </c>
      <c r="AD14" s="181">
        <f t="shared" si="71"/>
        <v>3801.3781392900014</v>
      </c>
      <c r="AE14" s="181">
        <f t="shared" si="71"/>
        <v>3850.7849864200016</v>
      </c>
      <c r="AF14" s="181">
        <f t="shared" si="71"/>
        <v>3879.1227143900014</v>
      </c>
      <c r="AG14" s="181">
        <f t="shared" si="71"/>
        <v>3946.7593120299989</v>
      </c>
      <c r="AH14" s="181">
        <f t="shared" si="71"/>
        <v>4023.6967384700006</v>
      </c>
      <c r="AI14" s="181">
        <f t="shared" si="71"/>
        <v>4103.9777157300005</v>
      </c>
      <c r="AJ14" s="181">
        <f t="shared" si="71"/>
        <v>4148.6871591099998</v>
      </c>
    </row>
    <row r="15" spans="2:36">
      <c r="B15" s="1" t="s">
        <v>374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72">SUM(C10:F10)</f>
        <v>164.35421207572193</v>
      </c>
      <c r="G15" s="181">
        <f t="shared" si="72"/>
        <v>169.57056340322191</v>
      </c>
      <c r="H15" s="181">
        <f t="shared" si="72"/>
        <v>173.35427159293761</v>
      </c>
      <c r="I15" s="181">
        <f t="shared" si="72"/>
        <v>184.02531596742799</v>
      </c>
      <c r="J15" s="181">
        <f t="shared" si="72"/>
        <v>192.30489106769312</v>
      </c>
      <c r="K15" s="181">
        <f t="shared" si="72"/>
        <v>212.85974367769305</v>
      </c>
      <c r="L15" s="181">
        <f t="shared" si="72"/>
        <v>249.15161524977199</v>
      </c>
      <c r="M15" s="181">
        <f t="shared" si="72"/>
        <v>274.90621588678118</v>
      </c>
      <c r="N15" s="181">
        <f t="shared" si="72"/>
        <v>274.1064049314997</v>
      </c>
      <c r="O15" s="181">
        <f t="shared" si="72"/>
        <v>293.53655896159995</v>
      </c>
      <c r="P15" s="181">
        <f t="shared" si="72"/>
        <v>347.69262770160026</v>
      </c>
      <c r="Q15" s="181">
        <f t="shared" si="72"/>
        <v>403.71935318010048</v>
      </c>
      <c r="R15" s="181">
        <f t="shared" si="72"/>
        <v>446.25372482010044</v>
      </c>
      <c r="S15" s="181">
        <f t="shared" si="72"/>
        <v>582.69658201000061</v>
      </c>
      <c r="T15" s="181">
        <f t="shared" si="72"/>
        <v>647.41573784998513</v>
      </c>
      <c r="U15" s="181">
        <f t="shared" si="72"/>
        <v>705.61977508000166</v>
      </c>
      <c r="V15" s="181">
        <f t="shared" si="72"/>
        <v>729.65781450999964</v>
      </c>
      <c r="W15" s="181">
        <f t="shared" si="72"/>
        <v>758.75466037630076</v>
      </c>
      <c r="X15" s="181">
        <f t="shared" si="72"/>
        <v>776.34278257631536</v>
      </c>
      <c r="Y15" s="181">
        <f t="shared" si="72"/>
        <v>822.90974119139696</v>
      </c>
      <c r="Z15" s="181">
        <f t="shared" si="72"/>
        <v>923.50985748580115</v>
      </c>
      <c r="AA15" s="181">
        <f t="shared" si="72"/>
        <v>970.40121234949925</v>
      </c>
      <c r="AB15" s="181">
        <f t="shared" si="72"/>
        <v>1032.8819435395003</v>
      </c>
      <c r="AC15" s="181">
        <f t="shared" ref="AC15:AJ15" si="73">SUM(Z10:AC10)</f>
        <v>1061.7211141144035</v>
      </c>
      <c r="AD15" s="181">
        <f t="shared" si="73"/>
        <v>1084.8559254100001</v>
      </c>
      <c r="AE15" s="181">
        <f t="shared" si="73"/>
        <v>1118.4136296906722</v>
      </c>
      <c r="AF15" s="181">
        <f t="shared" si="73"/>
        <v>1130.87353763693</v>
      </c>
      <c r="AG15" s="181">
        <f t="shared" si="73"/>
        <v>1169.0749151941084</v>
      </c>
      <c r="AH15" s="181">
        <f t="shared" si="73"/>
        <v>1206.8376828001569</v>
      </c>
      <c r="AI15" s="181">
        <f t="shared" si="73"/>
        <v>1222.2705771515002</v>
      </c>
      <c r="AJ15" s="181">
        <f t="shared" si="73"/>
        <v>1255.7800296430448</v>
      </c>
    </row>
    <row r="16" spans="2:36">
      <c r="B16" s="345" t="s">
        <v>280</v>
      </c>
      <c r="C16" s="346">
        <v>0.15923333553878932</v>
      </c>
      <c r="D16" s="346">
        <v>0.1514398031105878</v>
      </c>
      <c r="E16" s="346">
        <v>0.15020699548683461</v>
      </c>
      <c r="F16" s="346">
        <f>IFERROR(F15/F14,"n.a.")</f>
        <v>0.15110183610481201</v>
      </c>
      <c r="G16" s="346">
        <v>0.15377348385085637</v>
      </c>
      <c r="H16" s="346">
        <v>0.15616001506987454</v>
      </c>
      <c r="I16" s="346">
        <v>0.16054029227922023</v>
      </c>
      <c r="J16" s="346">
        <v>0.16420369674388369</v>
      </c>
      <c r="K16" s="346">
        <v>0.17061291907267348</v>
      </c>
      <c r="L16" s="346">
        <v>0.18742874239757149</v>
      </c>
      <c r="M16" s="346">
        <v>0.19537718219410166</v>
      </c>
      <c r="N16" s="346">
        <v>0.18743317326022435</v>
      </c>
      <c r="O16" s="346">
        <v>0.18868301350770397</v>
      </c>
      <c r="P16" s="346">
        <v>0.19190195846055402</v>
      </c>
      <c r="Q16" s="346">
        <v>0.17825311408447325</v>
      </c>
      <c r="R16" s="346">
        <f t="shared" ref="R16:AC16" si="74">IFERROR(R15/R14,"n.a.")</f>
        <v>0.16731578597135702</v>
      </c>
      <c r="S16" s="346">
        <f t="shared" si="74"/>
        <v>0.18477543878761749</v>
      </c>
      <c r="T16" s="346">
        <f t="shared" si="74"/>
        <v>0.18614365145393433</v>
      </c>
      <c r="U16" s="346">
        <f t="shared" si="74"/>
        <v>0.1978411990126239</v>
      </c>
      <c r="V16" s="346">
        <f t="shared" si="74"/>
        <v>0.20477426039199886</v>
      </c>
      <c r="W16" s="346">
        <f t="shared" si="74"/>
        <v>0.20987483357270212</v>
      </c>
      <c r="X16" s="346">
        <f t="shared" si="74"/>
        <v>0.21344377198688638</v>
      </c>
      <c r="Y16" s="346">
        <f t="shared" si="74"/>
        <v>0.22407988746435969</v>
      </c>
      <c r="Z16" s="346">
        <f t="shared" si="74"/>
        <v>0.24739480167016059</v>
      </c>
      <c r="AA16" s="346">
        <f t="shared" si="74"/>
        <v>0.25745327948687191</v>
      </c>
      <c r="AB16" s="346">
        <f t="shared" si="74"/>
        <v>0.27082678064261217</v>
      </c>
      <c r="AC16" s="346">
        <f t="shared" si="74"/>
        <v>0.27854401139030277</v>
      </c>
      <c r="AD16" s="346">
        <f t="shared" ref="AD16" si="75">IFERROR(AD15/AD14,"n.a.")</f>
        <v>0.28538490138542832</v>
      </c>
      <c r="AE16" s="346">
        <f t="shared" ref="AE16:AJ16" si="76">IFERROR(AE15/AE14,"n.a.")</f>
        <v>0.29043782855568862</v>
      </c>
      <c r="AF16" s="346">
        <f t="shared" si="76"/>
        <v>0.29152816781016988</v>
      </c>
      <c r="AG16" s="346">
        <f t="shared" si="76"/>
        <v>0.2962113528511065</v>
      </c>
      <c r="AH16" s="346">
        <f t="shared" si="76"/>
        <v>0.29993256481328501</v>
      </c>
      <c r="AI16" s="346">
        <f t="shared" si="76"/>
        <v>0.2978258318671419</v>
      </c>
      <c r="AJ16" s="346">
        <f t="shared" si="76"/>
        <v>0.30269335369997913</v>
      </c>
    </row>
    <row r="17" spans="2:36">
      <c r="B17" s="1" t="s">
        <v>281</v>
      </c>
      <c r="C17" s="321"/>
      <c r="D17" s="321"/>
      <c r="E17" s="321"/>
      <c r="F17" s="321"/>
      <c r="G17" s="321">
        <f t="shared" ref="G17:AB17" si="77">(ROUND(G16,3)-ROUND(C16,3))*100</f>
        <v>-0.50000000000000044</v>
      </c>
      <c r="H17" s="321">
        <f t="shared" si="77"/>
        <v>0.50000000000000044</v>
      </c>
      <c r="I17" s="321">
        <f t="shared" si="77"/>
        <v>1.100000000000001</v>
      </c>
      <c r="J17" s="321">
        <f t="shared" si="77"/>
        <v>1.3000000000000012</v>
      </c>
      <c r="K17" s="321">
        <f t="shared" si="77"/>
        <v>1.7000000000000015</v>
      </c>
      <c r="L17" s="321">
        <f t="shared" si="77"/>
        <v>3.1</v>
      </c>
      <c r="M17" s="321">
        <f t="shared" si="77"/>
        <v>3.4000000000000004</v>
      </c>
      <c r="N17" s="321">
        <f t="shared" si="77"/>
        <v>2.2999999999999994</v>
      </c>
      <c r="O17" s="321">
        <f t="shared" si="77"/>
        <v>1.7999999999999989</v>
      </c>
      <c r="P17" s="321">
        <f t="shared" si="77"/>
        <v>0.50000000000000044</v>
      </c>
      <c r="Q17" s="321">
        <f t="shared" si="77"/>
        <v>-1.7000000000000015</v>
      </c>
      <c r="R17" s="321">
        <f t="shared" si="77"/>
        <v>-1.9999999999999991</v>
      </c>
      <c r="S17" s="321">
        <f t="shared" si="77"/>
        <v>-0.40000000000000036</v>
      </c>
      <c r="T17" s="321">
        <f t="shared" si="77"/>
        <v>-0.60000000000000053</v>
      </c>
      <c r="U17" s="321">
        <f t="shared" si="77"/>
        <v>2.0000000000000018</v>
      </c>
      <c r="V17" s="321">
        <f t="shared" si="77"/>
        <v>3.799999999999998</v>
      </c>
      <c r="W17" s="321">
        <f t="shared" si="77"/>
        <v>2.4999999999999996</v>
      </c>
      <c r="X17" s="321">
        <f t="shared" si="77"/>
        <v>2.6999999999999997</v>
      </c>
      <c r="Y17" s="321">
        <f t="shared" si="77"/>
        <v>2.5999999999999996</v>
      </c>
      <c r="Z17" s="321">
        <f t="shared" si="77"/>
        <v>4.2000000000000011</v>
      </c>
      <c r="AA17" s="321">
        <f t="shared" si="77"/>
        <v>4.7000000000000011</v>
      </c>
      <c r="AB17" s="321">
        <f t="shared" si="77"/>
        <v>5.8000000000000025</v>
      </c>
      <c r="AC17" s="321">
        <f t="shared" ref="AC17:AG17" si="78">(ROUND(AC16,3)-ROUND(Y16,3))*100</f>
        <v>5.5000000000000018</v>
      </c>
      <c r="AD17" s="321">
        <f t="shared" si="78"/>
        <v>3.799999999999998</v>
      </c>
      <c r="AE17" s="321">
        <f t="shared" si="78"/>
        <v>3.2999999999999972</v>
      </c>
      <c r="AF17" s="321">
        <f t="shared" si="78"/>
        <v>2.0999999999999961</v>
      </c>
      <c r="AG17" s="321">
        <f t="shared" si="78"/>
        <v>1.699999999999996</v>
      </c>
      <c r="AH17" s="321">
        <f t="shared" ref="AH17" si="79">(ROUND(AH16,3)-ROUND(AD16,3))*100</f>
        <v>1.5000000000000013</v>
      </c>
      <c r="AI17" s="321">
        <f t="shared" ref="AI17" si="80">(ROUND(AI16,3)-ROUND(AE16,3))*100</f>
        <v>0.80000000000000071</v>
      </c>
      <c r="AJ17" s="321">
        <f t="shared" ref="AJ17" si="81">(ROUND(AJ16,3)-ROUND(AF16,3))*100</f>
        <v>1.100000000000001</v>
      </c>
    </row>
  </sheetData>
  <conditionalFormatting sqref="C17:AJ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Q108"/>
  <sheetViews>
    <sheetView showGridLines="0" zoomScale="85" zoomScaleNormal="85" workbookViewId="0">
      <pane xSplit="10" ySplit="5" topLeftCell="Z6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8" max="38" width="10.7109375" hidden="1" customWidth="1" outlineLevel="1"/>
    <col min="39" max="39" width="10.7109375" collapsed="1"/>
  </cols>
  <sheetData>
    <row r="1" spans="2:42" ht="18.75">
      <c r="B1" s="332" t="s">
        <v>372</v>
      </c>
    </row>
    <row r="2" spans="2:42">
      <c r="B2" s="280" t="s">
        <v>379</v>
      </c>
    </row>
    <row r="3" spans="2:42"/>
    <row r="4" spans="2:42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J4" s="149" t="str">
        <f>'Histórico Ebitda LTM'!AJ4</f>
        <v>2T26</v>
      </c>
      <c r="AL4" s="149">
        <v>2021</v>
      </c>
      <c r="AM4" s="149">
        <v>2022</v>
      </c>
      <c r="AN4" s="149">
        <v>2023</v>
      </c>
      <c r="AO4" s="259">
        <v>2024</v>
      </c>
      <c r="AP4" s="259">
        <v>2025</v>
      </c>
    </row>
    <row r="5" spans="2:42">
      <c r="B5" s="166" t="s">
        <v>251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L5" s="167"/>
      <c r="AM5" s="167"/>
      <c r="AN5" s="167"/>
      <c r="AO5" s="167"/>
      <c r="AP5" s="167"/>
    </row>
    <row r="6" spans="2:42">
      <c r="B6" s="97" t="s">
        <v>16</v>
      </c>
      <c r="C6" s="168" t="s">
        <v>340</v>
      </c>
      <c r="D6" s="168" t="s">
        <v>340</v>
      </c>
      <c r="E6" s="168" t="s">
        <v>340</v>
      </c>
      <c r="F6" s="168" t="s">
        <v>340</v>
      </c>
      <c r="G6" s="168" t="s">
        <v>340</v>
      </c>
      <c r="H6" s="168" t="s">
        <v>340</v>
      </c>
      <c r="I6" s="168" t="s">
        <v>340</v>
      </c>
      <c r="J6" s="168" t="s">
        <v>340</v>
      </c>
      <c r="K6" s="168" t="s">
        <v>340</v>
      </c>
      <c r="L6" s="168" t="s">
        <v>340</v>
      </c>
      <c r="M6" s="168" t="s">
        <v>340</v>
      </c>
      <c r="N6" s="168" t="s">
        <v>340</v>
      </c>
      <c r="O6" s="168" t="s">
        <v>340</v>
      </c>
      <c r="P6" s="168" t="s">
        <v>340</v>
      </c>
      <c r="Q6" s="168" t="s">
        <v>340</v>
      </c>
      <c r="R6" s="168" t="s">
        <v>340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G6" s="98">
        <v>1291.3734457099995</v>
      </c>
      <c r="AH6" s="98">
        <v>1269.7289551000008</v>
      </c>
      <c r="AI6" s="98">
        <v>1490.2570378200001</v>
      </c>
      <c r="AJ6" s="98">
        <v>1450.1964127399999</v>
      </c>
      <c r="AL6" s="98" t="s">
        <v>365</v>
      </c>
      <c r="AM6" s="98">
        <f t="shared" ref="AM6" si="0">SUM(S6:V6)</f>
        <v>5015.6841160299982</v>
      </c>
      <c r="AN6" s="98">
        <f t="shared" ref="AN6" si="1">SUM(W6:Z6)</f>
        <v>5157.7353391936986</v>
      </c>
      <c r="AO6" s="98">
        <f>SUM(AA6:AD6)</f>
        <v>5039.1757874599998</v>
      </c>
      <c r="AP6" s="98">
        <f>SUM(AE6:AH6)</f>
        <v>5310.5387536100006</v>
      </c>
    </row>
    <row r="7" spans="2:42">
      <c r="B7" s="97" t="s">
        <v>81</v>
      </c>
      <c r="C7" s="168" t="s">
        <v>340</v>
      </c>
      <c r="D7" s="168" t="s">
        <v>340</v>
      </c>
      <c r="E7" s="168" t="s">
        <v>340</v>
      </c>
      <c r="F7" s="168" t="s">
        <v>340</v>
      </c>
      <c r="G7" s="168" t="s">
        <v>340</v>
      </c>
      <c r="H7" s="168" t="s">
        <v>340</v>
      </c>
      <c r="I7" s="168" t="s">
        <v>340</v>
      </c>
      <c r="J7" s="168" t="s">
        <v>340</v>
      </c>
      <c r="K7" s="168" t="s">
        <v>340</v>
      </c>
      <c r="L7" s="168" t="s">
        <v>340</v>
      </c>
      <c r="M7" s="168" t="s">
        <v>340</v>
      </c>
      <c r="N7" s="168" t="s">
        <v>340</v>
      </c>
      <c r="O7" s="168" t="s">
        <v>340</v>
      </c>
      <c r="P7" s="168" t="s">
        <v>340</v>
      </c>
      <c r="Q7" s="168" t="s">
        <v>340</v>
      </c>
      <c r="R7" s="168" t="s">
        <v>340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G7" s="98">
        <v>-716.83187423000095</v>
      </c>
      <c r="AH7" s="98">
        <v>-752.31212479999931</v>
      </c>
      <c r="AI7" s="98">
        <v>-830.31111823000003</v>
      </c>
      <c r="AJ7" s="98">
        <v>-875.52704841999991</v>
      </c>
      <c r="AL7" s="98" t="s">
        <v>365</v>
      </c>
      <c r="AM7" s="98">
        <f t="shared" ref="AM7:AM29" si="2">SUM(S7:V7)</f>
        <v>-2660.0640305508223</v>
      </c>
      <c r="AN7" s="98">
        <f t="shared" ref="AN7:AN29" si="3">SUM(W7:Z7)</f>
        <v>-2864.8346702953986</v>
      </c>
      <c r="AO7" s="98">
        <f t="shared" ref="AO7:AO29" si="4">SUM(AA7:AD7)</f>
        <v>-2850.4153866399997</v>
      </c>
      <c r="AP7" s="98">
        <f t="shared" ref="AP7:AP29" si="5">SUM(AE7:AH7)</f>
        <v>-3068.1889724500002</v>
      </c>
    </row>
    <row r="8" spans="2:42">
      <c r="B8" s="97" t="s">
        <v>17</v>
      </c>
      <c r="C8" s="168" t="s">
        <v>340</v>
      </c>
      <c r="D8" s="168" t="s">
        <v>340</v>
      </c>
      <c r="E8" s="168" t="s">
        <v>340</v>
      </c>
      <c r="F8" s="168" t="s">
        <v>340</v>
      </c>
      <c r="G8" s="168" t="s">
        <v>340</v>
      </c>
      <c r="H8" s="168" t="s">
        <v>340</v>
      </c>
      <c r="I8" s="168" t="s">
        <v>340</v>
      </c>
      <c r="J8" s="168" t="s">
        <v>340</v>
      </c>
      <c r="K8" s="168" t="s">
        <v>340</v>
      </c>
      <c r="L8" s="168" t="s">
        <v>340</v>
      </c>
      <c r="M8" s="168" t="s">
        <v>340</v>
      </c>
      <c r="N8" s="168" t="s">
        <v>340</v>
      </c>
      <c r="O8" s="168" t="s">
        <v>340</v>
      </c>
      <c r="P8" s="168" t="s">
        <v>340</v>
      </c>
      <c r="Q8" s="168" t="s">
        <v>340</v>
      </c>
      <c r="R8" s="168" t="s">
        <v>340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G8" s="98">
        <v>-21.947505680000006</v>
      </c>
      <c r="AH8" s="98">
        <v>-19.016432500000022</v>
      </c>
      <c r="AI8" s="98">
        <v>-22.850488829999996</v>
      </c>
      <c r="AJ8" s="98">
        <v>-20.607576979999997</v>
      </c>
      <c r="AL8" s="98" t="s">
        <v>365</v>
      </c>
      <c r="AM8" s="98">
        <f t="shared" si="2"/>
        <v>-96.607563750000011</v>
      </c>
      <c r="AN8" s="98">
        <f t="shared" si="3"/>
        <v>-86.34944620980005</v>
      </c>
      <c r="AO8" s="98">
        <f t="shared" si="4"/>
        <v>-82.371295269999962</v>
      </c>
      <c r="AP8" s="98">
        <f t="shared" si="5"/>
        <v>-82.408181450000015</v>
      </c>
    </row>
    <row r="9" spans="2:42">
      <c r="B9" s="219" t="s">
        <v>18</v>
      </c>
      <c r="C9" s="220" t="s">
        <v>340</v>
      </c>
      <c r="D9" s="220" t="s">
        <v>340</v>
      </c>
      <c r="E9" s="220" t="s">
        <v>340</v>
      </c>
      <c r="F9" s="220" t="s">
        <v>340</v>
      </c>
      <c r="G9" s="220" t="s">
        <v>340</v>
      </c>
      <c r="H9" s="220" t="s">
        <v>340</v>
      </c>
      <c r="I9" s="220" t="s">
        <v>340</v>
      </c>
      <c r="J9" s="220" t="s">
        <v>340</v>
      </c>
      <c r="K9" s="220" t="s">
        <v>340</v>
      </c>
      <c r="L9" s="220" t="s">
        <v>340</v>
      </c>
      <c r="M9" s="220" t="s">
        <v>340</v>
      </c>
      <c r="N9" s="220" t="s">
        <v>340</v>
      </c>
      <c r="O9" s="220" t="s">
        <v>340</v>
      </c>
      <c r="P9" s="220" t="s">
        <v>340</v>
      </c>
      <c r="Q9" s="220" t="s">
        <v>340</v>
      </c>
      <c r="R9" s="220" t="s">
        <v>340</v>
      </c>
      <c r="S9" s="221">
        <v>586.59591126000055</v>
      </c>
      <c r="T9" s="221">
        <v>567.82582705916218</v>
      </c>
      <c r="U9" s="221">
        <v>572.15557316001559</v>
      </c>
      <c r="V9" s="221">
        <v>532.43521024999768</v>
      </c>
      <c r="W9" s="221">
        <v>572.43183612540122</v>
      </c>
      <c r="X9" s="221">
        <v>548.3656662361002</v>
      </c>
      <c r="Y9" s="221">
        <v>561.23011764789715</v>
      </c>
      <c r="Z9" s="221">
        <v>524.52360267910137</v>
      </c>
      <c r="AA9" s="221">
        <v>566.44614179999962</v>
      </c>
      <c r="AB9" s="221">
        <v>531.63115220000043</v>
      </c>
      <c r="AC9" s="221">
        <v>531.18771504000006</v>
      </c>
      <c r="AD9" s="221">
        <v>477.12409650999939</v>
      </c>
      <c r="AE9" s="221">
        <v>576.04418898999995</v>
      </c>
      <c r="AF9" s="221">
        <v>532.90294712000048</v>
      </c>
      <c r="AG9" s="221">
        <v>552.59406579999859</v>
      </c>
      <c r="AH9" s="221">
        <v>498.40039780000143</v>
      </c>
      <c r="AI9" s="221">
        <v>637.09543076</v>
      </c>
      <c r="AJ9" s="221">
        <v>554.06178734000014</v>
      </c>
      <c r="AL9" s="221" t="s">
        <v>365</v>
      </c>
      <c r="AM9" s="221">
        <f t="shared" si="2"/>
        <v>2259.0125217291761</v>
      </c>
      <c r="AN9" s="221">
        <f t="shared" si="3"/>
        <v>2206.5512226884998</v>
      </c>
      <c r="AO9" s="221">
        <f t="shared" si="4"/>
        <v>2106.3891055499998</v>
      </c>
      <c r="AP9" s="221">
        <f t="shared" si="5"/>
        <v>2159.9415997100004</v>
      </c>
    </row>
    <row r="10" spans="2:42">
      <c r="B10" s="222" t="s">
        <v>19</v>
      </c>
      <c r="C10" s="220" t="s">
        <v>340</v>
      </c>
      <c r="D10" s="220" t="s">
        <v>340</v>
      </c>
      <c r="E10" s="220" t="s">
        <v>340</v>
      </c>
      <c r="F10" s="220" t="s">
        <v>340</v>
      </c>
      <c r="G10" s="220" t="s">
        <v>340</v>
      </c>
      <c r="H10" s="220" t="s">
        <v>340</v>
      </c>
      <c r="I10" s="220" t="s">
        <v>340</v>
      </c>
      <c r="J10" s="220" t="s">
        <v>340</v>
      </c>
      <c r="K10" s="220" t="s">
        <v>340</v>
      </c>
      <c r="L10" s="220" t="s">
        <v>340</v>
      </c>
      <c r="M10" s="220" t="s">
        <v>340</v>
      </c>
      <c r="N10" s="220" t="s">
        <v>340</v>
      </c>
      <c r="O10" s="220" t="s">
        <v>340</v>
      </c>
      <c r="P10" s="220" t="s">
        <v>340</v>
      </c>
      <c r="Q10" s="220" t="s">
        <v>340</v>
      </c>
      <c r="R10" s="220" t="s">
        <v>340</v>
      </c>
      <c r="S10" s="223">
        <f t="shared" ref="S10" si="6">SUM(S11:S14)</f>
        <v>-197.62911039000002</v>
      </c>
      <c r="T10" s="223">
        <f>SUM(T11:T14)</f>
        <v>-257.32896767999955</v>
      </c>
      <c r="U10" s="223">
        <f t="shared" ref="U10:AC10" si="7">SUM(U11:U14)</f>
        <v>-253.83433948000027</v>
      </c>
      <c r="V10" s="223">
        <f t="shared" si="7"/>
        <v>-272.70783540000002</v>
      </c>
      <c r="W10" s="223">
        <f t="shared" si="7"/>
        <v>-208.9154489884998</v>
      </c>
      <c r="X10" s="223">
        <f t="shared" si="7"/>
        <v>-263.79234397639982</v>
      </c>
      <c r="Y10" s="223">
        <f t="shared" si="7"/>
        <v>-207.12047745350029</v>
      </c>
      <c r="Z10" s="223">
        <f t="shared" si="7"/>
        <v>-213.83504799209953</v>
      </c>
      <c r="AA10" s="223">
        <f t="shared" si="7"/>
        <v>-173.88455894999998</v>
      </c>
      <c r="AB10" s="223">
        <f t="shared" si="7"/>
        <v>-210.04543441000001</v>
      </c>
      <c r="AC10" s="223">
        <f t="shared" si="7"/>
        <v>-200.15429512000014</v>
      </c>
      <c r="AD10" s="223">
        <v>-207.85332039000045</v>
      </c>
      <c r="AE10" s="223">
        <v>-184.17793205000001</v>
      </c>
      <c r="AF10" s="223">
        <v>-228.18693519999997</v>
      </c>
      <c r="AG10" s="223">
        <v>-211.06436188999987</v>
      </c>
      <c r="AH10" s="223">
        <v>-213.76565774000005</v>
      </c>
      <c r="AI10" s="223">
        <v>-198.20038165000003</v>
      </c>
      <c r="AJ10" s="223">
        <v>-241.42638011999995</v>
      </c>
      <c r="AL10" s="223" t="s">
        <v>365</v>
      </c>
      <c r="AM10" s="223">
        <f t="shared" si="2"/>
        <v>-981.50025294999989</v>
      </c>
      <c r="AN10" s="223">
        <f t="shared" si="3"/>
        <v>-893.66331841049941</v>
      </c>
      <c r="AO10" s="223">
        <f t="shared" si="4"/>
        <v>-791.93760887000064</v>
      </c>
      <c r="AP10" s="223">
        <f t="shared" si="5"/>
        <v>-837.1948868799999</v>
      </c>
    </row>
    <row r="11" spans="2:42">
      <c r="B11" s="103" t="s">
        <v>218</v>
      </c>
      <c r="C11" s="169" t="s">
        <v>340</v>
      </c>
      <c r="D11" s="169" t="s">
        <v>340</v>
      </c>
      <c r="E11" s="169" t="s">
        <v>340</v>
      </c>
      <c r="F11" s="169" t="s">
        <v>340</v>
      </c>
      <c r="G11" s="169" t="s">
        <v>340</v>
      </c>
      <c r="H11" s="169" t="s">
        <v>340</v>
      </c>
      <c r="I11" s="169" t="s">
        <v>340</v>
      </c>
      <c r="J11" s="169" t="s">
        <v>340</v>
      </c>
      <c r="K11" s="169" t="s">
        <v>340</v>
      </c>
      <c r="L11" s="169" t="s">
        <v>340</v>
      </c>
      <c r="M11" s="169" t="s">
        <v>340</v>
      </c>
      <c r="N11" s="169" t="s">
        <v>340</v>
      </c>
      <c r="O11" s="169" t="s">
        <v>340</v>
      </c>
      <c r="P11" s="169" t="s">
        <v>340</v>
      </c>
      <c r="Q11" s="169" t="s">
        <v>340</v>
      </c>
      <c r="R11" s="169" t="s">
        <v>340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G11" s="104">
        <v>-149.98066011999992</v>
      </c>
      <c r="AH11" s="104">
        <v>-153.78052236000002</v>
      </c>
      <c r="AI11" s="104">
        <v>-144.54233803000002</v>
      </c>
      <c r="AJ11" s="104">
        <v>-176.49211179999995</v>
      </c>
      <c r="AL11" s="104" t="s">
        <v>365</v>
      </c>
      <c r="AM11" s="104">
        <f t="shared" si="2"/>
        <v>-698.04108913999983</v>
      </c>
      <c r="AN11" s="104">
        <f t="shared" si="3"/>
        <v>-662.8282876554</v>
      </c>
      <c r="AO11" s="104">
        <f t="shared" si="4"/>
        <v>-578.54294818000062</v>
      </c>
      <c r="AP11" s="104">
        <f t="shared" si="5"/>
        <v>-601.10554305999995</v>
      </c>
    </row>
    <row r="12" spans="2:42">
      <c r="B12" s="105" t="s">
        <v>219</v>
      </c>
      <c r="C12" s="168" t="s">
        <v>340</v>
      </c>
      <c r="D12" s="168" t="s">
        <v>340</v>
      </c>
      <c r="E12" s="168" t="s">
        <v>340</v>
      </c>
      <c r="F12" s="168" t="s">
        <v>340</v>
      </c>
      <c r="G12" s="168" t="s">
        <v>340</v>
      </c>
      <c r="H12" s="168" t="s">
        <v>340</v>
      </c>
      <c r="I12" s="168" t="s">
        <v>340</v>
      </c>
      <c r="J12" s="168" t="s">
        <v>340</v>
      </c>
      <c r="K12" s="168" t="s">
        <v>340</v>
      </c>
      <c r="L12" s="168" t="s">
        <v>340</v>
      </c>
      <c r="M12" s="168" t="s">
        <v>340</v>
      </c>
      <c r="N12" s="168" t="s">
        <v>340</v>
      </c>
      <c r="O12" s="168" t="s">
        <v>340</v>
      </c>
      <c r="P12" s="168" t="s">
        <v>340</v>
      </c>
      <c r="Q12" s="168" t="s">
        <v>340</v>
      </c>
      <c r="R12" s="168" t="s">
        <v>340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G12" s="106">
        <v>-19.442985650000004</v>
      </c>
      <c r="AH12" s="106">
        <v>-19.786348889999999</v>
      </c>
      <c r="AI12" s="106">
        <v>-13.975393180000001</v>
      </c>
      <c r="AJ12" s="106">
        <v>-22.289310919999995</v>
      </c>
      <c r="AL12" s="106" t="s">
        <v>365</v>
      </c>
      <c r="AM12" s="106">
        <f t="shared" si="2"/>
        <v>-93.658120209999993</v>
      </c>
      <c r="AN12" s="106">
        <f t="shared" si="3"/>
        <v>-74.538707314700005</v>
      </c>
      <c r="AO12" s="106">
        <f t="shared" si="4"/>
        <v>-68.067922509999988</v>
      </c>
      <c r="AP12" s="106">
        <f t="shared" si="5"/>
        <v>-72.346183299999993</v>
      </c>
    </row>
    <row r="13" spans="2:42">
      <c r="B13" s="105" t="s">
        <v>220</v>
      </c>
      <c r="C13" s="168" t="s">
        <v>340</v>
      </c>
      <c r="D13" s="168" t="s">
        <v>340</v>
      </c>
      <c r="E13" s="168" t="s">
        <v>340</v>
      </c>
      <c r="F13" s="168" t="s">
        <v>340</v>
      </c>
      <c r="G13" s="168" t="s">
        <v>340</v>
      </c>
      <c r="H13" s="168" t="s">
        <v>340</v>
      </c>
      <c r="I13" s="168" t="s">
        <v>340</v>
      </c>
      <c r="J13" s="168" t="s">
        <v>340</v>
      </c>
      <c r="K13" s="168" t="s">
        <v>340</v>
      </c>
      <c r="L13" s="168" t="s">
        <v>340</v>
      </c>
      <c r="M13" s="168" t="s">
        <v>340</v>
      </c>
      <c r="N13" s="168" t="s">
        <v>340</v>
      </c>
      <c r="O13" s="168" t="s">
        <v>340</v>
      </c>
      <c r="P13" s="168" t="s">
        <v>340</v>
      </c>
      <c r="Q13" s="168" t="s">
        <v>340</v>
      </c>
      <c r="R13" s="168" t="s">
        <v>340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G13" s="106">
        <v>-15.544515369999957</v>
      </c>
      <c r="AH13" s="106">
        <v>-14.414085510000007</v>
      </c>
      <c r="AI13" s="106">
        <v>-16.205294420000008</v>
      </c>
      <c r="AJ13" s="106">
        <v>-15.292914469999992</v>
      </c>
      <c r="AL13" s="106" t="s">
        <v>365</v>
      </c>
      <c r="AM13" s="106">
        <f t="shared" si="2"/>
        <v>-72.296078630000011</v>
      </c>
      <c r="AN13" s="106">
        <f t="shared" si="3"/>
        <v>-56.730850061099957</v>
      </c>
      <c r="AO13" s="106">
        <f t="shared" si="4"/>
        <v>-54.257981349999959</v>
      </c>
      <c r="AP13" s="106">
        <f t="shared" si="5"/>
        <v>-60.521686179999975</v>
      </c>
    </row>
    <row r="14" spans="2:42">
      <c r="B14" s="105" t="s">
        <v>221</v>
      </c>
      <c r="C14" s="168" t="s">
        <v>340</v>
      </c>
      <c r="D14" s="168" t="s">
        <v>340</v>
      </c>
      <c r="E14" s="168" t="s">
        <v>340</v>
      </c>
      <c r="F14" s="168" t="s">
        <v>340</v>
      </c>
      <c r="G14" s="168" t="s">
        <v>340</v>
      </c>
      <c r="H14" s="168" t="s">
        <v>340</v>
      </c>
      <c r="I14" s="168" t="s">
        <v>340</v>
      </c>
      <c r="J14" s="168" t="s">
        <v>340</v>
      </c>
      <c r="K14" s="168" t="s">
        <v>340</v>
      </c>
      <c r="L14" s="168" t="s">
        <v>340</v>
      </c>
      <c r="M14" s="168" t="s">
        <v>340</v>
      </c>
      <c r="N14" s="168" t="s">
        <v>340</v>
      </c>
      <c r="O14" s="168" t="s">
        <v>340</v>
      </c>
      <c r="P14" s="168" t="s">
        <v>340</v>
      </c>
      <c r="Q14" s="168" t="s">
        <v>340</v>
      </c>
      <c r="R14" s="168" t="s">
        <v>340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G14" s="106">
        <v>-26.096200749999959</v>
      </c>
      <c r="AH14" s="106">
        <v>-25.784700980000025</v>
      </c>
      <c r="AI14" s="106">
        <v>-23.477356019999998</v>
      </c>
      <c r="AJ14" s="106">
        <v>-27.352042929999993</v>
      </c>
      <c r="AL14" s="106" t="s">
        <v>365</v>
      </c>
      <c r="AM14" s="106">
        <f t="shared" si="2"/>
        <v>-117.50496496999999</v>
      </c>
      <c r="AN14" s="106">
        <f t="shared" si="3"/>
        <v>-99.565473379299547</v>
      </c>
      <c r="AO14" s="106">
        <f t="shared" si="4"/>
        <v>-91.06875682999997</v>
      </c>
      <c r="AP14" s="106">
        <f t="shared" si="5"/>
        <v>-103.22147433999999</v>
      </c>
    </row>
    <row r="15" spans="2:42">
      <c r="B15" s="224" t="s">
        <v>222</v>
      </c>
      <c r="C15" s="225" t="s">
        <v>340</v>
      </c>
      <c r="D15" s="225" t="s">
        <v>340</v>
      </c>
      <c r="E15" s="225" t="s">
        <v>340</v>
      </c>
      <c r="F15" s="225" t="s">
        <v>340</v>
      </c>
      <c r="G15" s="225" t="s">
        <v>340</v>
      </c>
      <c r="H15" s="225" t="s">
        <v>340</v>
      </c>
      <c r="I15" s="225" t="s">
        <v>340</v>
      </c>
      <c r="J15" s="225" t="s">
        <v>340</v>
      </c>
      <c r="K15" s="225" t="s">
        <v>340</v>
      </c>
      <c r="L15" s="225" t="s">
        <v>340</v>
      </c>
      <c r="M15" s="225" t="s">
        <v>340</v>
      </c>
      <c r="N15" s="225" t="s">
        <v>340</v>
      </c>
      <c r="O15" s="225" t="s">
        <v>340</v>
      </c>
      <c r="P15" s="225" t="s">
        <v>340</v>
      </c>
      <c r="Q15" s="225" t="s">
        <v>340</v>
      </c>
      <c r="R15" s="225" t="s">
        <v>340</v>
      </c>
      <c r="S15" s="226">
        <f t="shared" ref="S15" si="8">SUM(S9,S10)</f>
        <v>388.9668008700005</v>
      </c>
      <c r="T15" s="226">
        <f>SUM(T9,T10)</f>
        <v>310.49685937916263</v>
      </c>
      <c r="U15" s="226">
        <f t="shared" ref="U15:AC15" si="9">SUM(U9,U10)</f>
        <v>318.32123368001533</v>
      </c>
      <c r="V15" s="226">
        <f t="shared" si="9"/>
        <v>259.72737484999766</v>
      </c>
      <c r="W15" s="226">
        <f t="shared" si="9"/>
        <v>363.51638713690141</v>
      </c>
      <c r="X15" s="226">
        <f t="shared" si="9"/>
        <v>284.57332225970038</v>
      </c>
      <c r="Y15" s="226">
        <f t="shared" si="9"/>
        <v>354.10964019439689</v>
      </c>
      <c r="Z15" s="226">
        <f t="shared" si="9"/>
        <v>310.68855468700184</v>
      </c>
      <c r="AA15" s="226">
        <f t="shared" si="9"/>
        <v>392.56158284999964</v>
      </c>
      <c r="AB15" s="226">
        <f t="shared" si="9"/>
        <v>321.58571779000044</v>
      </c>
      <c r="AC15" s="226">
        <f t="shared" si="9"/>
        <v>331.03341991999991</v>
      </c>
      <c r="AD15" s="226">
        <v>269.27077611999891</v>
      </c>
      <c r="AE15" s="226">
        <v>391.86625693999997</v>
      </c>
      <c r="AF15" s="226">
        <v>304.71601192000048</v>
      </c>
      <c r="AG15" s="226">
        <v>341.52970390999883</v>
      </c>
      <c r="AH15" s="226">
        <v>284.63474006000115</v>
      </c>
      <c r="AI15" s="226">
        <v>438.89504910999995</v>
      </c>
      <c r="AJ15" s="226">
        <v>312.63540722000016</v>
      </c>
      <c r="AL15" s="226" t="s">
        <v>365</v>
      </c>
      <c r="AM15" s="226">
        <f t="shared" si="2"/>
        <v>1277.5122687791761</v>
      </c>
      <c r="AN15" s="226">
        <f t="shared" si="3"/>
        <v>1312.8879042780006</v>
      </c>
      <c r="AO15" s="226">
        <f t="shared" si="4"/>
        <v>1314.4514966799989</v>
      </c>
      <c r="AP15" s="226">
        <f t="shared" si="5"/>
        <v>1322.7467128300004</v>
      </c>
    </row>
    <row r="16" spans="2:42">
      <c r="B16" s="227" t="s">
        <v>26</v>
      </c>
      <c r="C16" s="228" t="s">
        <v>340</v>
      </c>
      <c r="D16" s="228" t="s">
        <v>340</v>
      </c>
      <c r="E16" s="228" t="s">
        <v>340</v>
      </c>
      <c r="F16" s="228" t="s">
        <v>340</v>
      </c>
      <c r="G16" s="228" t="s">
        <v>340</v>
      </c>
      <c r="H16" s="228" t="s">
        <v>340</v>
      </c>
      <c r="I16" s="228" t="s">
        <v>340</v>
      </c>
      <c r="J16" s="228" t="s">
        <v>340</v>
      </c>
      <c r="K16" s="228" t="s">
        <v>340</v>
      </c>
      <c r="L16" s="228" t="s">
        <v>340</v>
      </c>
      <c r="M16" s="228" t="s">
        <v>340</v>
      </c>
      <c r="N16" s="228" t="s">
        <v>340</v>
      </c>
      <c r="O16" s="228" t="s">
        <v>340</v>
      </c>
      <c r="P16" s="228" t="s">
        <v>340</v>
      </c>
      <c r="Q16" s="228" t="s">
        <v>340</v>
      </c>
      <c r="R16" s="228" t="s">
        <v>340</v>
      </c>
      <c r="S16" s="229">
        <f t="shared" ref="S16" si="10">SUM(S17:S18)</f>
        <v>-85.020463170000014</v>
      </c>
      <c r="T16" s="229">
        <f>SUM(T17:T18)</f>
        <v>-76.95016760999701</v>
      </c>
      <c r="U16" s="229">
        <f t="shared" ref="U16:AC16" si="11">SUM(U17:U18)</f>
        <v>-74.795062279999968</v>
      </c>
      <c r="V16" s="229">
        <f t="shared" si="11"/>
        <v>-73.04068592999991</v>
      </c>
      <c r="W16" s="229">
        <f t="shared" si="11"/>
        <v>-99.455126833600005</v>
      </c>
      <c r="X16" s="229">
        <f t="shared" si="11"/>
        <v>-63.191263572000011</v>
      </c>
      <c r="Y16" s="229">
        <f t="shared" si="11"/>
        <v>-93.250156254799961</v>
      </c>
      <c r="Z16" s="229">
        <f t="shared" si="11"/>
        <v>-57.737477574599978</v>
      </c>
      <c r="AA16" s="229">
        <f t="shared" si="11"/>
        <v>-107.51020360999998</v>
      </c>
      <c r="AB16" s="229">
        <f t="shared" si="11"/>
        <v>-62.850990170000031</v>
      </c>
      <c r="AC16" s="229">
        <f t="shared" si="11"/>
        <v>-83.949722460000004</v>
      </c>
      <c r="AD16" s="229">
        <v>-60.577706550000016</v>
      </c>
      <c r="AE16" s="229">
        <v>-105.47822545</v>
      </c>
      <c r="AF16" s="229">
        <v>-40.808718330000033</v>
      </c>
      <c r="AG16" s="229">
        <v>-72.971382419999998</v>
      </c>
      <c r="AH16" s="229">
        <v>-78.887387150000023</v>
      </c>
      <c r="AI16" s="229">
        <v>-117.93359147</v>
      </c>
      <c r="AJ16" s="229">
        <v>-66.545141619999967</v>
      </c>
      <c r="AL16" s="229" t="s">
        <v>365</v>
      </c>
      <c r="AM16" s="229">
        <f t="shared" si="2"/>
        <v>-309.80637898999692</v>
      </c>
      <c r="AN16" s="229">
        <f t="shared" si="3"/>
        <v>-313.63402423499997</v>
      </c>
      <c r="AO16" s="229">
        <f t="shared" si="4"/>
        <v>-314.88862279</v>
      </c>
      <c r="AP16" s="229">
        <f t="shared" si="5"/>
        <v>-298.14571335000005</v>
      </c>
    </row>
    <row r="17" spans="2:42">
      <c r="B17" s="109" t="s">
        <v>223</v>
      </c>
      <c r="C17" s="170" t="s">
        <v>340</v>
      </c>
      <c r="D17" s="170" t="s">
        <v>340</v>
      </c>
      <c r="E17" s="170" t="s">
        <v>340</v>
      </c>
      <c r="F17" s="170" t="s">
        <v>340</v>
      </c>
      <c r="G17" s="170" t="s">
        <v>340</v>
      </c>
      <c r="H17" s="170" t="s">
        <v>340</v>
      </c>
      <c r="I17" s="170" t="s">
        <v>340</v>
      </c>
      <c r="J17" s="170" t="s">
        <v>340</v>
      </c>
      <c r="K17" s="170" t="s">
        <v>340</v>
      </c>
      <c r="L17" s="170" t="s">
        <v>340</v>
      </c>
      <c r="M17" s="170" t="s">
        <v>340</v>
      </c>
      <c r="N17" s="170" t="s">
        <v>340</v>
      </c>
      <c r="O17" s="170" t="s">
        <v>340</v>
      </c>
      <c r="P17" s="170" t="s">
        <v>340</v>
      </c>
      <c r="Q17" s="170" t="s">
        <v>340</v>
      </c>
      <c r="R17" s="170" t="s">
        <v>340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G17" s="98">
        <v>-24.199172390000037</v>
      </c>
      <c r="AH17" s="98">
        <v>-34.109366669999972</v>
      </c>
      <c r="AI17" s="98">
        <v>-34.889930269999994</v>
      </c>
      <c r="AJ17" s="98">
        <v>-34.585439289999982</v>
      </c>
      <c r="AL17" s="98" t="s">
        <v>365</v>
      </c>
      <c r="AM17" s="98">
        <f t="shared" si="2"/>
        <v>-149.95430036999994</v>
      </c>
      <c r="AN17" s="98">
        <f t="shared" si="3"/>
        <v>-126.50113399430002</v>
      </c>
      <c r="AO17" s="98">
        <f t="shared" si="4"/>
        <v>-127.17310968</v>
      </c>
      <c r="AP17" s="98">
        <f t="shared" si="5"/>
        <v>-106.68573655000002</v>
      </c>
    </row>
    <row r="18" spans="2:42">
      <c r="B18" s="109" t="s">
        <v>224</v>
      </c>
      <c r="C18" s="170" t="s">
        <v>340</v>
      </c>
      <c r="D18" s="170" t="s">
        <v>340</v>
      </c>
      <c r="E18" s="170" t="s">
        <v>340</v>
      </c>
      <c r="F18" s="170" t="s">
        <v>340</v>
      </c>
      <c r="G18" s="170" t="s">
        <v>340</v>
      </c>
      <c r="H18" s="170" t="s">
        <v>340</v>
      </c>
      <c r="I18" s="170" t="s">
        <v>340</v>
      </c>
      <c r="J18" s="170" t="s">
        <v>340</v>
      </c>
      <c r="K18" s="170" t="s">
        <v>340</v>
      </c>
      <c r="L18" s="170" t="s">
        <v>340</v>
      </c>
      <c r="M18" s="170" t="s">
        <v>340</v>
      </c>
      <c r="N18" s="170" t="s">
        <v>340</v>
      </c>
      <c r="O18" s="170" t="s">
        <v>340</v>
      </c>
      <c r="P18" s="170" t="s">
        <v>340</v>
      </c>
      <c r="Q18" s="170" t="s">
        <v>340</v>
      </c>
      <c r="R18" s="170" t="s">
        <v>340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G18" s="98">
        <v>-48.772210029999968</v>
      </c>
      <c r="AH18" s="98">
        <v>-44.778020480000066</v>
      </c>
      <c r="AI18" s="98">
        <v>-83.043661200000003</v>
      </c>
      <c r="AJ18" s="98">
        <v>-31.959702329999985</v>
      </c>
      <c r="AL18" s="98" t="s">
        <v>365</v>
      </c>
      <c r="AM18" s="98">
        <f t="shared" si="2"/>
        <v>-159.85207861999695</v>
      </c>
      <c r="AN18" s="98">
        <f t="shared" si="3"/>
        <v>-187.13289024069994</v>
      </c>
      <c r="AO18" s="98">
        <f t="shared" si="4"/>
        <v>-187.71551311000005</v>
      </c>
      <c r="AP18" s="98">
        <f t="shared" si="5"/>
        <v>-191.45997680000005</v>
      </c>
    </row>
    <row r="19" spans="2:42">
      <c r="B19" s="222" t="s">
        <v>29</v>
      </c>
      <c r="C19" s="220" t="s">
        <v>340</v>
      </c>
      <c r="D19" s="220" t="s">
        <v>340</v>
      </c>
      <c r="E19" s="220" t="s">
        <v>340</v>
      </c>
      <c r="F19" s="220" t="s">
        <v>340</v>
      </c>
      <c r="G19" s="220" t="s">
        <v>340</v>
      </c>
      <c r="H19" s="220" t="s">
        <v>340</v>
      </c>
      <c r="I19" s="220" t="s">
        <v>340</v>
      </c>
      <c r="J19" s="220" t="s">
        <v>340</v>
      </c>
      <c r="K19" s="220" t="s">
        <v>340</v>
      </c>
      <c r="L19" s="220" t="s">
        <v>340</v>
      </c>
      <c r="M19" s="220" t="s">
        <v>340</v>
      </c>
      <c r="N19" s="220" t="s">
        <v>340</v>
      </c>
      <c r="O19" s="220" t="s">
        <v>340</v>
      </c>
      <c r="P19" s="220" t="s">
        <v>340</v>
      </c>
      <c r="Q19" s="220" t="s">
        <v>340</v>
      </c>
      <c r="R19" s="220" t="s">
        <v>340</v>
      </c>
      <c r="S19" s="223">
        <f t="shared" ref="S19" si="12">SUM(S20:S23)</f>
        <v>-58.163696840000007</v>
      </c>
      <c r="T19" s="223">
        <f>SUM(T20:T23)</f>
        <v>-62.403264459999932</v>
      </c>
      <c r="U19" s="223">
        <f t="shared" ref="U19:AC19" si="13">SUM(U20:U23)</f>
        <v>-55.950347910000005</v>
      </c>
      <c r="V19" s="223">
        <f t="shared" si="13"/>
        <v>-49.630693480000048</v>
      </c>
      <c r="W19" s="223">
        <f t="shared" si="13"/>
        <v>-65.358608899800004</v>
      </c>
      <c r="X19" s="223">
        <f t="shared" si="13"/>
        <v>-43.955928013800218</v>
      </c>
      <c r="Y19" s="223">
        <f t="shared" si="13"/>
        <v>-43.291015326999819</v>
      </c>
      <c r="Z19" s="223">
        <f t="shared" si="13"/>
        <v>-37.944773478099961</v>
      </c>
      <c r="AA19" s="223">
        <f t="shared" si="13"/>
        <v>-45.903285769999997</v>
      </c>
      <c r="AB19" s="223">
        <f t="shared" si="13"/>
        <v>-54.496272540000007</v>
      </c>
      <c r="AC19" s="223">
        <f t="shared" si="13"/>
        <v>-54.321428819999994</v>
      </c>
      <c r="AD19" s="223">
        <v>-54.229893209999958</v>
      </c>
      <c r="AE19" s="223">
        <v>-46.659757619999993</v>
      </c>
      <c r="AF19" s="223">
        <v>-56.143353499999989</v>
      </c>
      <c r="AG19" s="223">
        <v>-57.249006369999989</v>
      </c>
      <c r="AH19" s="223">
        <v>-55.548340809999985</v>
      </c>
      <c r="AI19" s="223">
        <v>-61.759356979999993</v>
      </c>
      <c r="AJ19" s="223">
        <v>-59.173440540000016</v>
      </c>
      <c r="AL19" s="223" t="s">
        <v>365</v>
      </c>
      <c r="AM19" s="223">
        <f t="shared" si="2"/>
        <v>-226.14800269</v>
      </c>
      <c r="AN19" s="223">
        <f t="shared" si="3"/>
        <v>-190.55032571870001</v>
      </c>
      <c r="AO19" s="223">
        <f t="shared" si="4"/>
        <v>-208.95088033999997</v>
      </c>
      <c r="AP19" s="223">
        <f t="shared" si="5"/>
        <v>-215.60045829999996</v>
      </c>
    </row>
    <row r="20" spans="2:42">
      <c r="B20" s="109" t="s">
        <v>225</v>
      </c>
      <c r="C20" s="170" t="s">
        <v>340</v>
      </c>
      <c r="D20" s="170" t="s">
        <v>340</v>
      </c>
      <c r="E20" s="170" t="s">
        <v>340</v>
      </c>
      <c r="F20" s="170" t="s">
        <v>340</v>
      </c>
      <c r="G20" s="170" t="s">
        <v>340</v>
      </c>
      <c r="H20" s="170" t="s">
        <v>340</v>
      </c>
      <c r="I20" s="170" t="s">
        <v>340</v>
      </c>
      <c r="J20" s="170" t="s">
        <v>340</v>
      </c>
      <c r="K20" s="170" t="s">
        <v>340</v>
      </c>
      <c r="L20" s="170" t="s">
        <v>340</v>
      </c>
      <c r="M20" s="170" t="s">
        <v>340</v>
      </c>
      <c r="N20" s="170" t="s">
        <v>340</v>
      </c>
      <c r="O20" s="170" t="s">
        <v>340</v>
      </c>
      <c r="P20" s="170" t="s">
        <v>340</v>
      </c>
      <c r="Q20" s="170" t="s">
        <v>340</v>
      </c>
      <c r="R20" s="170" t="s">
        <v>340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G20" s="98">
        <v>-41.289796960000004</v>
      </c>
      <c r="AH20" s="98">
        <v>-40.832448659999997</v>
      </c>
      <c r="AI20" s="98">
        <v>-40.599911059999997</v>
      </c>
      <c r="AJ20" s="98">
        <v>-44.308448860000013</v>
      </c>
      <c r="AL20" s="98" t="s">
        <v>365</v>
      </c>
      <c r="AM20" s="98">
        <f t="shared" si="2"/>
        <v>-169.37461892000098</v>
      </c>
      <c r="AN20" s="98">
        <f t="shared" si="3"/>
        <v>-137.84631756230004</v>
      </c>
      <c r="AO20" s="98">
        <f t="shared" si="4"/>
        <v>-137.075652579999</v>
      </c>
      <c r="AP20" s="98">
        <f t="shared" si="5"/>
        <v>-153.42982082999998</v>
      </c>
    </row>
    <row r="21" spans="2:42">
      <c r="B21" s="109" t="s">
        <v>226</v>
      </c>
      <c r="C21" s="170" t="s">
        <v>340</v>
      </c>
      <c r="D21" s="170" t="s">
        <v>340</v>
      </c>
      <c r="E21" s="170" t="s">
        <v>340</v>
      </c>
      <c r="F21" s="170" t="s">
        <v>340</v>
      </c>
      <c r="G21" s="170" t="s">
        <v>340</v>
      </c>
      <c r="H21" s="170" t="s">
        <v>340</v>
      </c>
      <c r="I21" s="170" t="s">
        <v>340</v>
      </c>
      <c r="J21" s="170" t="s">
        <v>340</v>
      </c>
      <c r="K21" s="170" t="s">
        <v>340</v>
      </c>
      <c r="L21" s="170" t="s">
        <v>340</v>
      </c>
      <c r="M21" s="170" t="s">
        <v>340</v>
      </c>
      <c r="N21" s="170" t="s">
        <v>340</v>
      </c>
      <c r="O21" s="170" t="s">
        <v>340</v>
      </c>
      <c r="P21" s="170" t="s">
        <v>340</v>
      </c>
      <c r="Q21" s="170" t="s">
        <v>340</v>
      </c>
      <c r="R21" s="170" t="s">
        <v>340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G21" s="98">
        <v>-10.582229080000001</v>
      </c>
      <c r="AH21" s="98">
        <v>-9.8513479499999974</v>
      </c>
      <c r="AI21" s="98">
        <v>-15.382161249999999</v>
      </c>
      <c r="AJ21" s="98">
        <v>-10.570676740000003</v>
      </c>
      <c r="AL21" s="98" t="s">
        <v>365</v>
      </c>
      <c r="AM21" s="98">
        <f t="shared" si="2"/>
        <v>-43.442635700000011</v>
      </c>
      <c r="AN21" s="98">
        <f t="shared" si="3"/>
        <v>-34.819296656300018</v>
      </c>
      <c r="AO21" s="98">
        <f t="shared" si="4"/>
        <v>-46.70021578000096</v>
      </c>
      <c r="AP21" s="98">
        <f t="shared" si="5"/>
        <v>-43.554704469999997</v>
      </c>
    </row>
    <row r="22" spans="2:42">
      <c r="B22" s="109" t="s">
        <v>227</v>
      </c>
      <c r="C22" s="170" t="s">
        <v>340</v>
      </c>
      <c r="D22" s="170" t="s">
        <v>340</v>
      </c>
      <c r="E22" s="170" t="s">
        <v>340</v>
      </c>
      <c r="F22" s="170" t="s">
        <v>340</v>
      </c>
      <c r="G22" s="170" t="s">
        <v>340</v>
      </c>
      <c r="H22" s="170" t="s">
        <v>340</v>
      </c>
      <c r="I22" s="170" t="s">
        <v>340</v>
      </c>
      <c r="J22" s="170" t="s">
        <v>340</v>
      </c>
      <c r="K22" s="170" t="s">
        <v>340</v>
      </c>
      <c r="L22" s="170" t="s">
        <v>340</v>
      </c>
      <c r="M22" s="170" t="s">
        <v>340</v>
      </c>
      <c r="N22" s="170" t="s">
        <v>340</v>
      </c>
      <c r="O22" s="170" t="s">
        <v>340</v>
      </c>
      <c r="P22" s="170" t="s">
        <v>340</v>
      </c>
      <c r="Q22" s="170" t="s">
        <v>340</v>
      </c>
      <c r="R22" s="170" t="s">
        <v>340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G22" s="98">
        <v>-0.66313197000000912</v>
      </c>
      <c r="AH22" s="98">
        <v>-0.18388483999999039</v>
      </c>
      <c r="AI22" s="98">
        <v>-1.1556751399999996</v>
      </c>
      <c r="AJ22" s="98">
        <v>6.8714860000000044E-2</v>
      </c>
      <c r="AL22" s="98" t="s">
        <v>365</v>
      </c>
      <c r="AM22" s="98">
        <f t="shared" si="2"/>
        <v>9.0555126899999987</v>
      </c>
      <c r="AN22" s="98">
        <f t="shared" si="3"/>
        <v>6.9747432999000036</v>
      </c>
      <c r="AO22" s="98">
        <f t="shared" si="4"/>
        <v>-2.6871277000000005</v>
      </c>
      <c r="AP22" s="98">
        <f t="shared" si="5"/>
        <v>-1.9165212999999994</v>
      </c>
    </row>
    <row r="23" spans="2:42">
      <c r="B23" s="109" t="s">
        <v>228</v>
      </c>
      <c r="C23" s="170" t="s">
        <v>340</v>
      </c>
      <c r="D23" s="170" t="s">
        <v>340</v>
      </c>
      <c r="E23" s="170" t="s">
        <v>340</v>
      </c>
      <c r="F23" s="170" t="s">
        <v>340</v>
      </c>
      <c r="G23" s="170" t="s">
        <v>340</v>
      </c>
      <c r="H23" s="170" t="s">
        <v>340</v>
      </c>
      <c r="I23" s="170" t="s">
        <v>340</v>
      </c>
      <c r="J23" s="170" t="s">
        <v>340</v>
      </c>
      <c r="K23" s="170" t="s">
        <v>340</v>
      </c>
      <c r="L23" s="170" t="s">
        <v>340</v>
      </c>
      <c r="M23" s="170" t="s">
        <v>340</v>
      </c>
      <c r="N23" s="170" t="s">
        <v>340</v>
      </c>
      <c r="O23" s="170" t="s">
        <v>340</v>
      </c>
      <c r="P23" s="170" t="s">
        <v>340</v>
      </c>
      <c r="Q23" s="170" t="s">
        <v>340</v>
      </c>
      <c r="R23" s="170" t="s">
        <v>340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G23" s="98">
        <v>-4.7138483599999974</v>
      </c>
      <c r="AH23" s="98">
        <v>-4.6806593600000017</v>
      </c>
      <c r="AI23" s="98">
        <v>-4.6216095300000006</v>
      </c>
      <c r="AJ23" s="98">
        <v>-4.3630297999999978</v>
      </c>
      <c r="AL23" s="98" t="s">
        <v>365</v>
      </c>
      <c r="AM23" s="98">
        <f t="shared" si="2"/>
        <v>-22.386260759999004</v>
      </c>
      <c r="AN23" s="98">
        <f t="shared" si="3"/>
        <v>-24.859454799999991</v>
      </c>
      <c r="AO23" s="98">
        <f t="shared" si="4"/>
        <v>-22.487884279999999</v>
      </c>
      <c r="AP23" s="98">
        <f t="shared" si="5"/>
        <v>-16.699411699999999</v>
      </c>
    </row>
    <row r="24" spans="2:42">
      <c r="B24" s="222" t="s">
        <v>30</v>
      </c>
      <c r="C24" s="220" t="s">
        <v>340</v>
      </c>
      <c r="D24" s="220" t="s">
        <v>340</v>
      </c>
      <c r="E24" s="220" t="s">
        <v>340</v>
      </c>
      <c r="F24" s="220" t="s">
        <v>340</v>
      </c>
      <c r="G24" s="220" t="s">
        <v>340</v>
      </c>
      <c r="H24" s="220" t="s">
        <v>340</v>
      </c>
      <c r="I24" s="220" t="s">
        <v>340</v>
      </c>
      <c r="J24" s="220" t="s">
        <v>340</v>
      </c>
      <c r="K24" s="220" t="s">
        <v>340</v>
      </c>
      <c r="L24" s="220" t="s">
        <v>340</v>
      </c>
      <c r="M24" s="220" t="s">
        <v>340</v>
      </c>
      <c r="N24" s="220" t="s">
        <v>340</v>
      </c>
      <c r="O24" s="220" t="s">
        <v>340</v>
      </c>
      <c r="P24" s="220" t="s">
        <v>340</v>
      </c>
      <c r="Q24" s="220" t="s">
        <v>340</v>
      </c>
      <c r="R24" s="220" t="s">
        <v>340</v>
      </c>
      <c r="S24" s="223">
        <f t="shared" ref="S24" si="14">SUM(S25:S27)</f>
        <v>-1.832665080000357</v>
      </c>
      <c r="T24" s="223">
        <f>SUM(T25:T27)</f>
        <v>6.5961894799996452</v>
      </c>
      <c r="U24" s="223">
        <f t="shared" ref="U24:AC24" si="15">SUM(U25:U27)</f>
        <v>15.952105110001286</v>
      </c>
      <c r="V24" s="223">
        <f t="shared" si="15"/>
        <v>1.6740926199999917</v>
      </c>
      <c r="W24" s="223">
        <f t="shared" si="15"/>
        <v>-8.5969722600012233E-2</v>
      </c>
      <c r="X24" s="223">
        <f t="shared" si="15"/>
        <v>1.9301418756000053</v>
      </c>
      <c r="Y24" s="223">
        <f t="shared" si="15"/>
        <v>-8.061859523099967</v>
      </c>
      <c r="Z24" s="223">
        <f t="shared" si="15"/>
        <v>-15.446134378199986</v>
      </c>
      <c r="AA24" s="223">
        <f t="shared" si="15"/>
        <v>-10.137676170000001</v>
      </c>
      <c r="AB24" s="223">
        <f t="shared" si="15"/>
        <v>-3.0337890900000115</v>
      </c>
      <c r="AC24" s="223">
        <f t="shared" si="15"/>
        <v>-1.766777919999992</v>
      </c>
      <c r="AD24" s="223">
        <v>-4.8530783100000292</v>
      </c>
      <c r="AE24" s="223">
        <v>-2.3048616699999962</v>
      </c>
      <c r="AF24" s="223">
        <v>3.6778240000002516E-2</v>
      </c>
      <c r="AG24" s="223">
        <v>-13.703272079999987</v>
      </c>
      <c r="AH24" s="223">
        <v>14.594788449999992</v>
      </c>
      <c r="AI24" s="223">
        <v>2.2772565199999972</v>
      </c>
      <c r="AJ24" s="223">
        <v>2.531001070000003</v>
      </c>
      <c r="AL24" s="223" t="s">
        <v>365</v>
      </c>
      <c r="AM24" s="223">
        <f t="shared" si="2"/>
        <v>22.389722130000568</v>
      </c>
      <c r="AN24" s="223">
        <f t="shared" si="3"/>
        <v>-21.663821748299959</v>
      </c>
      <c r="AO24" s="223">
        <f t="shared" si="4"/>
        <v>-19.791321490000033</v>
      </c>
      <c r="AP24" s="223">
        <f t="shared" si="5"/>
        <v>-1.3765670599999886</v>
      </c>
    </row>
    <row r="25" spans="2:42">
      <c r="B25" s="109" t="s">
        <v>229</v>
      </c>
      <c r="C25" s="170" t="s">
        <v>340</v>
      </c>
      <c r="D25" s="170" t="s">
        <v>340</v>
      </c>
      <c r="E25" s="170" t="s">
        <v>340</v>
      </c>
      <c r="F25" s="170" t="s">
        <v>340</v>
      </c>
      <c r="G25" s="170" t="s">
        <v>340</v>
      </c>
      <c r="H25" s="170" t="s">
        <v>340</v>
      </c>
      <c r="I25" s="170" t="s">
        <v>340</v>
      </c>
      <c r="J25" s="170" t="s">
        <v>340</v>
      </c>
      <c r="K25" s="170" t="s">
        <v>340</v>
      </c>
      <c r="L25" s="170" t="s">
        <v>340</v>
      </c>
      <c r="M25" s="170" t="s">
        <v>340</v>
      </c>
      <c r="N25" s="170" t="s">
        <v>340</v>
      </c>
      <c r="O25" s="170" t="s">
        <v>340</v>
      </c>
      <c r="P25" s="170" t="s">
        <v>340</v>
      </c>
      <c r="Q25" s="170" t="s">
        <v>340</v>
      </c>
      <c r="R25" s="170" t="s">
        <v>340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G25" s="98">
        <v>-16.047133169999992</v>
      </c>
      <c r="AH25" s="98">
        <v>3.5983814699999925</v>
      </c>
      <c r="AI25" s="98">
        <v>-6.0040715900000015</v>
      </c>
      <c r="AJ25" s="98">
        <v>-5.8605776700000005</v>
      </c>
      <c r="AL25" s="98" t="s">
        <v>365</v>
      </c>
      <c r="AM25" s="98">
        <f t="shared" si="2"/>
        <v>-1.9727046099994325</v>
      </c>
      <c r="AN25" s="98">
        <f t="shared" si="3"/>
        <v>-40.694159739899987</v>
      </c>
      <c r="AO25" s="98">
        <f t="shared" si="4"/>
        <v>-27.929946940000029</v>
      </c>
      <c r="AP25" s="98">
        <f t="shared" si="5"/>
        <v>-20.440489449999991</v>
      </c>
    </row>
    <row r="26" spans="2:42">
      <c r="B26" s="109" t="s">
        <v>17</v>
      </c>
      <c r="C26" s="170" t="s">
        <v>340</v>
      </c>
      <c r="D26" s="170" t="s">
        <v>340</v>
      </c>
      <c r="E26" s="170" t="s">
        <v>340</v>
      </c>
      <c r="F26" s="170" t="s">
        <v>340</v>
      </c>
      <c r="G26" s="170" t="s">
        <v>340</v>
      </c>
      <c r="H26" s="170" t="s">
        <v>340</v>
      </c>
      <c r="I26" s="170" t="s">
        <v>340</v>
      </c>
      <c r="J26" s="170" t="s">
        <v>340</v>
      </c>
      <c r="K26" s="170" t="s">
        <v>340</v>
      </c>
      <c r="L26" s="170" t="s">
        <v>340</v>
      </c>
      <c r="M26" s="170" t="s">
        <v>340</v>
      </c>
      <c r="N26" s="170" t="s">
        <v>340</v>
      </c>
      <c r="O26" s="170" t="s">
        <v>340</v>
      </c>
      <c r="P26" s="170" t="s">
        <v>340</v>
      </c>
      <c r="Q26" s="170" t="s">
        <v>340</v>
      </c>
      <c r="R26" s="170" t="s">
        <v>340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G26" s="98">
        <v>-2.0221162100000001</v>
      </c>
      <c r="AH26" s="98">
        <v>0.36796135999999979</v>
      </c>
      <c r="AI26" s="98">
        <v>-0.89896176999999977</v>
      </c>
      <c r="AJ26" s="98">
        <v>-0.99535371999999966</v>
      </c>
      <c r="AL26" s="98" t="s">
        <v>365</v>
      </c>
      <c r="AM26" s="98">
        <f t="shared" si="2"/>
        <v>-2.1508786100000004</v>
      </c>
      <c r="AN26" s="98">
        <f t="shared" si="3"/>
        <v>-2.2459788504999993</v>
      </c>
      <c r="AO26" s="98">
        <f t="shared" si="4"/>
        <v>-8.9505967000000002</v>
      </c>
      <c r="AP26" s="98">
        <f t="shared" si="5"/>
        <v>-3.9392667699999997</v>
      </c>
    </row>
    <row r="27" spans="2:42">
      <c r="B27" s="109" t="s">
        <v>30</v>
      </c>
      <c r="C27" s="170" t="s">
        <v>340</v>
      </c>
      <c r="D27" s="170" t="s">
        <v>340</v>
      </c>
      <c r="E27" s="170" t="s">
        <v>340</v>
      </c>
      <c r="F27" s="170" t="s">
        <v>340</v>
      </c>
      <c r="G27" s="170" t="s">
        <v>340</v>
      </c>
      <c r="H27" s="170" t="s">
        <v>340</v>
      </c>
      <c r="I27" s="170" t="s">
        <v>340</v>
      </c>
      <c r="J27" s="170" t="s">
        <v>340</v>
      </c>
      <c r="K27" s="170" t="s">
        <v>340</v>
      </c>
      <c r="L27" s="170" t="s">
        <v>340</v>
      </c>
      <c r="M27" s="170" t="s">
        <v>340</v>
      </c>
      <c r="N27" s="170" t="s">
        <v>340</v>
      </c>
      <c r="O27" s="170" t="s">
        <v>340</v>
      </c>
      <c r="P27" s="170" t="s">
        <v>340</v>
      </c>
      <c r="Q27" s="170" t="s">
        <v>340</v>
      </c>
      <c r="R27" s="170" t="s">
        <v>340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G27" s="98">
        <v>4.3659773000000044</v>
      </c>
      <c r="AH27" s="98">
        <v>10.628445620000001</v>
      </c>
      <c r="AI27" s="98">
        <v>9.1802898799999983</v>
      </c>
      <c r="AJ27" s="98">
        <v>9.3869324600000024</v>
      </c>
      <c r="AL27" s="98" t="s">
        <v>365</v>
      </c>
      <c r="AM27" s="98">
        <f t="shared" si="2"/>
        <v>26.513305349999996</v>
      </c>
      <c r="AN27" s="98">
        <f t="shared" si="3"/>
        <v>21.27631684210003</v>
      </c>
      <c r="AO27" s="98">
        <f t="shared" si="4"/>
        <v>17.089222149999998</v>
      </c>
      <c r="AP27" s="98">
        <f t="shared" si="5"/>
        <v>23.003189160000002</v>
      </c>
    </row>
    <row r="28" spans="2:42">
      <c r="B28" s="222" t="s">
        <v>34</v>
      </c>
      <c r="C28" s="220" t="s">
        <v>340</v>
      </c>
      <c r="D28" s="220" t="s">
        <v>340</v>
      </c>
      <c r="E28" s="220" t="s">
        <v>340</v>
      </c>
      <c r="F28" s="220" t="s">
        <v>340</v>
      </c>
      <c r="G28" s="220" t="s">
        <v>340</v>
      </c>
      <c r="H28" s="220" t="s">
        <v>340</v>
      </c>
      <c r="I28" s="220" t="s">
        <v>340</v>
      </c>
      <c r="J28" s="220" t="s">
        <v>340</v>
      </c>
      <c r="K28" s="220" t="s">
        <v>340</v>
      </c>
      <c r="L28" s="220" t="s">
        <v>340</v>
      </c>
      <c r="M28" s="220" t="s">
        <v>340</v>
      </c>
      <c r="N28" s="220" t="s">
        <v>340</v>
      </c>
      <c r="O28" s="220" t="s">
        <v>340</v>
      </c>
      <c r="P28" s="220" t="s">
        <v>340</v>
      </c>
      <c r="Q28" s="220" t="s">
        <v>340</v>
      </c>
      <c r="R28" s="220" t="s">
        <v>340</v>
      </c>
      <c r="S28" s="223">
        <v>3.9378961899999996</v>
      </c>
      <c r="T28" s="223">
        <v>5.0700218200000009</v>
      </c>
      <c r="U28" s="223">
        <v>2.3806629899999994</v>
      </c>
      <c r="V28" s="223">
        <v>2.3999869999999968</v>
      </c>
      <c r="W28" s="223">
        <v>3.0255270000000003</v>
      </c>
      <c r="X28" s="223">
        <v>4.4138619999999991</v>
      </c>
      <c r="Y28" s="223">
        <v>4.8809335794999109</v>
      </c>
      <c r="Z28" s="223">
        <v>5.7473555079000906</v>
      </c>
      <c r="AA28" s="223">
        <v>7.044102119999911</v>
      </c>
      <c r="AB28" s="223">
        <v>4.6443572300000913</v>
      </c>
      <c r="AC28" s="223">
        <v>6.973934140000007</v>
      </c>
      <c r="AD28" s="223">
        <v>4.9471845199999844</v>
      </c>
      <c r="AE28" s="223">
        <v>6.9983195599999997</v>
      </c>
      <c r="AF28" s="223">
        <v>4.6824487999999986</v>
      </c>
      <c r="AG28" s="223">
        <v>8.7894818100000016</v>
      </c>
      <c r="AH28" s="223">
        <v>2.3518402800000011</v>
      </c>
      <c r="AI28" s="223">
        <v>8.2209986599999993</v>
      </c>
      <c r="AJ28" s="223">
        <v>4.3568741800000002</v>
      </c>
      <c r="AL28" s="223" t="s">
        <v>365</v>
      </c>
      <c r="AM28" s="223">
        <f t="shared" si="2"/>
        <v>13.788567999999998</v>
      </c>
      <c r="AN28" s="223">
        <f t="shared" si="3"/>
        <v>18.067678087400001</v>
      </c>
      <c r="AO28" s="223">
        <f t="shared" si="4"/>
        <v>23.609578009999993</v>
      </c>
      <c r="AP28" s="223">
        <f t="shared" si="5"/>
        <v>22.822090450000001</v>
      </c>
    </row>
    <row r="29" spans="2:42" ht="30">
      <c r="B29" s="219" t="s">
        <v>349</v>
      </c>
      <c r="C29" s="220" t="s">
        <v>340</v>
      </c>
      <c r="D29" s="220" t="s">
        <v>340</v>
      </c>
      <c r="E29" s="220" t="s">
        <v>340</v>
      </c>
      <c r="F29" s="220" t="s">
        <v>340</v>
      </c>
      <c r="G29" s="220" t="s">
        <v>340</v>
      </c>
      <c r="H29" s="220" t="s">
        <v>340</v>
      </c>
      <c r="I29" s="220" t="s">
        <v>340</v>
      </c>
      <c r="J29" s="220" t="s">
        <v>340</v>
      </c>
      <c r="K29" s="220" t="s">
        <v>340</v>
      </c>
      <c r="L29" s="220" t="s">
        <v>340</v>
      </c>
      <c r="M29" s="220" t="s">
        <v>340</v>
      </c>
      <c r="N29" s="220" t="s">
        <v>340</v>
      </c>
      <c r="O29" s="220" t="s">
        <v>340</v>
      </c>
      <c r="P29" s="220" t="s">
        <v>340</v>
      </c>
      <c r="Q29" s="220" t="s">
        <v>340</v>
      </c>
      <c r="R29" s="220" t="s">
        <v>340</v>
      </c>
      <c r="S29" s="223">
        <f t="shared" ref="S29" si="16">SUM(S15,S16,S19,S24,S28)</f>
        <v>247.88787197000011</v>
      </c>
      <c r="T29" s="223">
        <f>SUM(T15,T16,T19,T24,T28)</f>
        <v>182.80963860916535</v>
      </c>
      <c r="U29" s="223">
        <f t="shared" ref="U29:AC29" si="17">SUM(U15,U16,U19,U24,U28)</f>
        <v>205.90859159001664</v>
      </c>
      <c r="V29" s="223">
        <f t="shared" si="17"/>
        <v>141.13007505999769</v>
      </c>
      <c r="W29" s="223">
        <f t="shared" si="17"/>
        <v>201.64220868090143</v>
      </c>
      <c r="X29" s="223">
        <f t="shared" si="17"/>
        <v>183.77013454950014</v>
      </c>
      <c r="Y29" s="223">
        <f t="shared" si="17"/>
        <v>214.38754266899707</v>
      </c>
      <c r="Z29" s="223">
        <f t="shared" si="17"/>
        <v>205.30752476400201</v>
      </c>
      <c r="AA29" s="223">
        <f t="shared" si="17"/>
        <v>236.05451941999959</v>
      </c>
      <c r="AB29" s="223">
        <f t="shared" si="17"/>
        <v>205.84902322000048</v>
      </c>
      <c r="AC29" s="223">
        <f t="shared" si="17"/>
        <v>197.96942485999995</v>
      </c>
      <c r="AD29" s="223">
        <v>154.5572825699989</v>
      </c>
      <c r="AE29" s="223">
        <v>244.42173175999997</v>
      </c>
      <c r="AF29" s="223">
        <v>212.48316713000057</v>
      </c>
      <c r="AG29" s="223">
        <v>206.39552484999871</v>
      </c>
      <c r="AH29" s="223">
        <v>167.1456408300013</v>
      </c>
      <c r="AI29" s="223">
        <v>269.70035583999993</v>
      </c>
      <c r="AJ29" s="223">
        <v>193.80470031000016</v>
      </c>
      <c r="AL29" s="223" t="s">
        <v>365</v>
      </c>
      <c r="AM29" s="223">
        <f t="shared" si="2"/>
        <v>777.73617722917982</v>
      </c>
      <c r="AN29" s="223">
        <f t="shared" si="3"/>
        <v>805.10741066340063</v>
      </c>
      <c r="AO29" s="223">
        <f t="shared" si="4"/>
        <v>794.43025006999892</v>
      </c>
      <c r="AP29" s="223">
        <f t="shared" si="5"/>
        <v>830.44606457000054</v>
      </c>
    </row>
    <row r="30" spans="2:42"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L30" s="322"/>
      <c r="AM30" s="322"/>
      <c r="AN30" s="322"/>
      <c r="AO30" s="322"/>
      <c r="AP30" s="322"/>
    </row>
    <row r="31" spans="2:42">
      <c r="V31" s="323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G31" s="130"/>
      <c r="AH31" s="130"/>
      <c r="AI31" s="130"/>
      <c r="AJ31" s="130"/>
      <c r="AL31" s="130"/>
      <c r="AM31" s="130"/>
      <c r="AN31" s="130"/>
      <c r="AO31" s="130"/>
      <c r="AP31" s="130"/>
    </row>
    <row r="32" spans="2:42">
      <c r="B32" s="171" t="s">
        <v>252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J32" s="172"/>
      <c r="AL32" s="172"/>
      <c r="AM32" s="172"/>
      <c r="AN32" s="172"/>
      <c r="AO32" s="172"/>
      <c r="AP32" s="172"/>
    </row>
    <row r="33" spans="2:42">
      <c r="B33" s="97" t="s">
        <v>16</v>
      </c>
      <c r="C33" s="168" t="s">
        <v>340</v>
      </c>
      <c r="D33" s="168" t="s">
        <v>340</v>
      </c>
      <c r="E33" s="168" t="s">
        <v>340</v>
      </c>
      <c r="F33" s="168" t="s">
        <v>340</v>
      </c>
      <c r="G33" s="168" t="s">
        <v>340</v>
      </c>
      <c r="H33" s="168" t="s">
        <v>340</v>
      </c>
      <c r="I33" s="168" t="s">
        <v>340</v>
      </c>
      <c r="J33" s="168" t="s">
        <v>340</v>
      </c>
      <c r="K33" s="168" t="s">
        <v>340</v>
      </c>
      <c r="L33" s="168" t="s">
        <v>340</v>
      </c>
      <c r="M33" s="168" t="s">
        <v>340</v>
      </c>
      <c r="N33" s="168" t="s">
        <v>340</v>
      </c>
      <c r="O33" s="168" t="s">
        <v>340</v>
      </c>
      <c r="P33" s="168" t="s">
        <v>340</v>
      </c>
      <c r="Q33" s="168" t="s">
        <v>340</v>
      </c>
      <c r="R33" s="168" t="s">
        <v>340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G33" s="98">
        <v>248.56587105999995</v>
      </c>
      <c r="AH33" s="98">
        <v>262.5299096199999</v>
      </c>
      <c r="AI33" s="98">
        <v>243.20583612000001</v>
      </c>
      <c r="AJ33" s="98">
        <v>254.25490840999998</v>
      </c>
      <c r="AL33" s="98" t="s">
        <v>365</v>
      </c>
      <c r="AM33" s="98">
        <f t="shared" ref="AM33:AM56" si="18">SUM(S33:V33)</f>
        <v>695.6167063800001</v>
      </c>
      <c r="AN33" s="98">
        <f t="shared" ref="AN33:AN56" si="19">SUM(W33:Z33)</f>
        <v>866.58403983630035</v>
      </c>
      <c r="AO33" s="98">
        <f t="shared" ref="AO33:AO56" si="20">SUM(AA33:AD33)</f>
        <v>943.93535420000035</v>
      </c>
      <c r="AP33" s="98">
        <f t="shared" ref="AP33:AP56" si="21">SUM(AE33:AH33)</f>
        <v>1048.7830105999999</v>
      </c>
    </row>
    <row r="34" spans="2:42">
      <c r="B34" s="97" t="s">
        <v>81</v>
      </c>
      <c r="C34" s="168" t="s">
        <v>340</v>
      </c>
      <c r="D34" s="168" t="s">
        <v>340</v>
      </c>
      <c r="E34" s="168" t="s">
        <v>340</v>
      </c>
      <c r="F34" s="168" t="s">
        <v>340</v>
      </c>
      <c r="G34" s="168" t="s">
        <v>340</v>
      </c>
      <c r="H34" s="168" t="s">
        <v>340</v>
      </c>
      <c r="I34" s="168" t="s">
        <v>340</v>
      </c>
      <c r="J34" s="168" t="s">
        <v>340</v>
      </c>
      <c r="K34" s="168" t="s">
        <v>340</v>
      </c>
      <c r="L34" s="168" t="s">
        <v>340</v>
      </c>
      <c r="M34" s="168" t="s">
        <v>340</v>
      </c>
      <c r="N34" s="168" t="s">
        <v>340</v>
      </c>
      <c r="O34" s="168" t="s">
        <v>340</v>
      </c>
      <c r="P34" s="168" t="s">
        <v>340</v>
      </c>
      <c r="Q34" s="168" t="s">
        <v>340</v>
      </c>
      <c r="R34" s="168" t="s">
        <v>340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G34" s="98">
        <v>-169.75148978999999</v>
      </c>
      <c r="AH34" s="98">
        <v>-175.01890023999988</v>
      </c>
      <c r="AI34" s="98">
        <v>-166.67610407999999</v>
      </c>
      <c r="AJ34" s="98">
        <v>-169.22784621999998</v>
      </c>
      <c r="AL34" s="98" t="s">
        <v>365</v>
      </c>
      <c r="AM34" s="98">
        <f t="shared" si="18"/>
        <v>-467.54037055917792</v>
      </c>
      <c r="AN34" s="98">
        <f t="shared" si="19"/>
        <v>-583.0926467446003</v>
      </c>
      <c r="AO34" s="98">
        <f t="shared" si="20"/>
        <v>-633.65803330000017</v>
      </c>
      <c r="AP34" s="98">
        <f t="shared" si="21"/>
        <v>-703.17497059999994</v>
      </c>
    </row>
    <row r="35" spans="2:42">
      <c r="B35" s="97" t="s">
        <v>17</v>
      </c>
      <c r="C35" s="168" t="s">
        <v>340</v>
      </c>
      <c r="D35" s="168" t="s">
        <v>340</v>
      </c>
      <c r="E35" s="168" t="s">
        <v>340</v>
      </c>
      <c r="F35" s="168" t="s">
        <v>340</v>
      </c>
      <c r="G35" s="168" t="s">
        <v>340</v>
      </c>
      <c r="H35" s="168" t="s">
        <v>340</v>
      </c>
      <c r="I35" s="168" t="s">
        <v>340</v>
      </c>
      <c r="J35" s="168" t="s">
        <v>340</v>
      </c>
      <c r="K35" s="168" t="s">
        <v>340</v>
      </c>
      <c r="L35" s="168" t="s">
        <v>340</v>
      </c>
      <c r="M35" s="168" t="s">
        <v>340</v>
      </c>
      <c r="N35" s="168" t="s">
        <v>340</v>
      </c>
      <c r="O35" s="168" t="s">
        <v>340</v>
      </c>
      <c r="P35" s="168" t="s">
        <v>340</v>
      </c>
      <c r="Q35" s="168" t="s">
        <v>340</v>
      </c>
      <c r="R35" s="168" t="s">
        <v>340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G35" s="98">
        <v>-3.5078083600000012</v>
      </c>
      <c r="AH35" s="98">
        <v>-3.6275978199999983</v>
      </c>
      <c r="AI35" s="98">
        <v>-3.3906612099999993</v>
      </c>
      <c r="AJ35" s="98">
        <v>-3.4890997600000011</v>
      </c>
      <c r="AL35" s="98" t="s">
        <v>365</v>
      </c>
      <c r="AM35" s="98">
        <f t="shared" si="18"/>
        <v>-8.6795286099999966</v>
      </c>
      <c r="AN35" s="98">
        <f t="shared" si="19"/>
        <v>-10.14423125019993</v>
      </c>
      <c r="AO35" s="98">
        <f t="shared" si="20"/>
        <v>-11.428918900000005</v>
      </c>
      <c r="AP35" s="98">
        <f t="shared" si="21"/>
        <v>-14.216449889999998</v>
      </c>
    </row>
    <row r="36" spans="2:42">
      <c r="B36" s="230" t="s">
        <v>18</v>
      </c>
      <c r="C36" s="231" t="s">
        <v>340</v>
      </c>
      <c r="D36" s="231" t="s">
        <v>340</v>
      </c>
      <c r="E36" s="231" t="s">
        <v>340</v>
      </c>
      <c r="F36" s="231" t="s">
        <v>340</v>
      </c>
      <c r="G36" s="231" t="s">
        <v>340</v>
      </c>
      <c r="H36" s="231" t="s">
        <v>340</v>
      </c>
      <c r="I36" s="231" t="s">
        <v>340</v>
      </c>
      <c r="J36" s="231" t="s">
        <v>340</v>
      </c>
      <c r="K36" s="231" t="s">
        <v>340</v>
      </c>
      <c r="L36" s="231" t="s">
        <v>340</v>
      </c>
      <c r="M36" s="231" t="s">
        <v>340</v>
      </c>
      <c r="N36" s="231" t="s">
        <v>340</v>
      </c>
      <c r="O36" s="231" t="s">
        <v>340</v>
      </c>
      <c r="P36" s="231" t="s">
        <v>340</v>
      </c>
      <c r="Q36" s="231" t="s">
        <v>340</v>
      </c>
      <c r="R36" s="231" t="s">
        <v>340</v>
      </c>
      <c r="S36" s="232">
        <v>47.201369830000161</v>
      </c>
      <c r="T36" s="232">
        <v>61.716610820822012</v>
      </c>
      <c r="U36" s="232">
        <v>56.13777847000005</v>
      </c>
      <c r="V36" s="232">
        <v>54.341048090000008</v>
      </c>
      <c r="W36" s="232">
        <v>59.3233255146001</v>
      </c>
      <c r="X36" s="232">
        <v>72.403817523899704</v>
      </c>
      <c r="Y36" s="232">
        <v>64.396212202100031</v>
      </c>
      <c r="Z36" s="232">
        <v>77.223806600900375</v>
      </c>
      <c r="AA36" s="232">
        <v>72.156001420000024</v>
      </c>
      <c r="AB36" s="232">
        <v>80.317446659999931</v>
      </c>
      <c r="AC36" s="232">
        <v>65.611406459999984</v>
      </c>
      <c r="AD36" s="232">
        <v>80.763547460000254</v>
      </c>
      <c r="AE36" s="232">
        <v>77.368533969999987</v>
      </c>
      <c r="AF36" s="232">
        <v>94.83307167000001</v>
      </c>
      <c r="AG36" s="232">
        <v>75.306572909999943</v>
      </c>
      <c r="AH36" s="232">
        <v>83.883411560000042</v>
      </c>
      <c r="AI36" s="232">
        <v>73.139070830000023</v>
      </c>
      <c r="AJ36" s="232">
        <v>81.537962430000007</v>
      </c>
      <c r="AL36" s="232" t="s">
        <v>365</v>
      </c>
      <c r="AM36" s="232">
        <f t="shared" si="18"/>
        <v>219.39680721082223</v>
      </c>
      <c r="AN36" s="232">
        <f t="shared" si="19"/>
        <v>273.34716184150022</v>
      </c>
      <c r="AO36" s="232">
        <f t="shared" si="20"/>
        <v>298.84840200000019</v>
      </c>
      <c r="AP36" s="232">
        <f t="shared" si="21"/>
        <v>331.39159010999998</v>
      </c>
    </row>
    <row r="37" spans="2:42">
      <c r="B37" s="233" t="s">
        <v>19</v>
      </c>
      <c r="C37" s="231" t="s">
        <v>340</v>
      </c>
      <c r="D37" s="231" t="s">
        <v>340</v>
      </c>
      <c r="E37" s="231" t="s">
        <v>340</v>
      </c>
      <c r="F37" s="231" t="s">
        <v>340</v>
      </c>
      <c r="G37" s="231" t="s">
        <v>340</v>
      </c>
      <c r="H37" s="231" t="s">
        <v>340</v>
      </c>
      <c r="I37" s="231" t="s">
        <v>340</v>
      </c>
      <c r="J37" s="231" t="s">
        <v>340</v>
      </c>
      <c r="K37" s="231" t="s">
        <v>340</v>
      </c>
      <c r="L37" s="231" t="s">
        <v>340</v>
      </c>
      <c r="M37" s="231" t="s">
        <v>340</v>
      </c>
      <c r="N37" s="231" t="s">
        <v>340</v>
      </c>
      <c r="O37" s="231" t="s">
        <v>340</v>
      </c>
      <c r="P37" s="231" t="s">
        <v>340</v>
      </c>
      <c r="Q37" s="231" t="s">
        <v>340</v>
      </c>
      <c r="R37" s="231" t="s">
        <v>340</v>
      </c>
      <c r="S37" s="234">
        <v>-2.0402737599999998</v>
      </c>
      <c r="T37" s="234">
        <v>-4.0391070600000001</v>
      </c>
      <c r="U37" s="234">
        <v>-4.6969530700000011</v>
      </c>
      <c r="V37" s="234">
        <v>-5.5885861399999994</v>
      </c>
      <c r="W37" s="234">
        <v>-1.3436298514999998</v>
      </c>
      <c r="X37" s="234">
        <v>-2.1766016835999999</v>
      </c>
      <c r="Y37" s="234">
        <v>-3.1701449664999988</v>
      </c>
      <c r="Z37" s="234">
        <v>-10.771472437900014</v>
      </c>
      <c r="AA37" s="234">
        <v>-3.6274803599999998</v>
      </c>
      <c r="AB37" s="234">
        <v>-5.3373246200000013</v>
      </c>
      <c r="AC37" s="234">
        <v>-4.9064897399999987</v>
      </c>
      <c r="AD37" s="234">
        <v>-6.7381129800001087</v>
      </c>
      <c r="AE37" s="234">
        <v>-5.6813809399999986</v>
      </c>
      <c r="AF37" s="234">
        <v>-6.6718546100000022</v>
      </c>
      <c r="AG37" s="234">
        <v>-5.5478283399999988</v>
      </c>
      <c r="AH37" s="234">
        <v>-5.0642924400000027</v>
      </c>
      <c r="AI37" s="234">
        <v>-5.3104869999999993</v>
      </c>
      <c r="AJ37" s="234">
        <v>-4.7828353399999992</v>
      </c>
      <c r="AL37" s="234" t="s">
        <v>365</v>
      </c>
      <c r="AM37" s="234">
        <f t="shared" si="18"/>
        <v>-16.36492003</v>
      </c>
      <c r="AN37" s="234">
        <f t="shared" si="19"/>
        <v>-17.461848939500012</v>
      </c>
      <c r="AO37" s="234">
        <f t="shared" si="20"/>
        <v>-20.609407700000105</v>
      </c>
      <c r="AP37" s="234">
        <f t="shared" si="21"/>
        <v>-22.965356330000002</v>
      </c>
    </row>
    <row r="38" spans="2:42">
      <c r="B38" s="103" t="s">
        <v>218</v>
      </c>
      <c r="C38" s="169" t="s">
        <v>340</v>
      </c>
      <c r="D38" s="169" t="s">
        <v>340</v>
      </c>
      <c r="E38" s="169" t="s">
        <v>340</v>
      </c>
      <c r="F38" s="169" t="s">
        <v>340</v>
      </c>
      <c r="G38" s="169" t="s">
        <v>340</v>
      </c>
      <c r="H38" s="169" t="s">
        <v>340</v>
      </c>
      <c r="I38" s="169" t="s">
        <v>340</v>
      </c>
      <c r="J38" s="169" t="s">
        <v>340</v>
      </c>
      <c r="K38" s="169" t="s">
        <v>340</v>
      </c>
      <c r="L38" s="169" t="s">
        <v>340</v>
      </c>
      <c r="M38" s="169" t="s">
        <v>340</v>
      </c>
      <c r="N38" s="169" t="s">
        <v>340</v>
      </c>
      <c r="O38" s="169" t="s">
        <v>340</v>
      </c>
      <c r="P38" s="169" t="s">
        <v>340</v>
      </c>
      <c r="Q38" s="169" t="s">
        <v>340</v>
      </c>
      <c r="R38" s="169" t="s">
        <v>340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G38" s="104">
        <v>-3.5330921099999983</v>
      </c>
      <c r="AH38" s="104">
        <v>-3.7949627100000001</v>
      </c>
      <c r="AI38" s="104">
        <v>-3.9279605599999994</v>
      </c>
      <c r="AJ38" s="104">
        <v>-4.2833337700000005</v>
      </c>
      <c r="AL38" s="104" t="s">
        <v>365</v>
      </c>
      <c r="AM38" s="104">
        <f t="shared" si="18"/>
        <v>-9.3449213499999999</v>
      </c>
      <c r="AN38" s="104">
        <f t="shared" si="19"/>
        <v>-12.05843175460001</v>
      </c>
      <c r="AO38" s="104">
        <f t="shared" si="20"/>
        <v>-13.401834510000107</v>
      </c>
      <c r="AP38" s="104">
        <f t="shared" si="21"/>
        <v>-16.541389429999999</v>
      </c>
    </row>
    <row r="39" spans="2:42">
      <c r="B39" s="105" t="s">
        <v>219</v>
      </c>
      <c r="C39" s="168" t="s">
        <v>340</v>
      </c>
      <c r="D39" s="168" t="s">
        <v>340</v>
      </c>
      <c r="E39" s="168" t="s">
        <v>340</v>
      </c>
      <c r="F39" s="168" t="s">
        <v>340</v>
      </c>
      <c r="G39" s="168" t="s">
        <v>340</v>
      </c>
      <c r="H39" s="168" t="s">
        <v>340</v>
      </c>
      <c r="I39" s="168" t="s">
        <v>340</v>
      </c>
      <c r="J39" s="168" t="s">
        <v>340</v>
      </c>
      <c r="K39" s="168" t="s">
        <v>340</v>
      </c>
      <c r="L39" s="168" t="s">
        <v>340</v>
      </c>
      <c r="M39" s="168" t="s">
        <v>340</v>
      </c>
      <c r="N39" s="168" t="s">
        <v>340</v>
      </c>
      <c r="O39" s="168" t="s">
        <v>340</v>
      </c>
      <c r="P39" s="168" t="s">
        <v>340</v>
      </c>
      <c r="Q39" s="168" t="s">
        <v>340</v>
      </c>
      <c r="R39" s="168" t="s">
        <v>340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G39" s="106">
        <v>-0.11397452</v>
      </c>
      <c r="AH39" s="106">
        <v>-8.3504129999999954E-2</v>
      </c>
      <c r="AI39" s="106">
        <v>-0.14102328999999997</v>
      </c>
      <c r="AJ39" s="106">
        <v>-4.5276910000000031E-2</v>
      </c>
      <c r="AL39" s="106" t="s">
        <v>365</v>
      </c>
      <c r="AM39" s="106">
        <f t="shared" si="18"/>
        <v>-0.88401295000000002</v>
      </c>
      <c r="AN39" s="106">
        <f t="shared" si="19"/>
        <v>-1.6149587453000003</v>
      </c>
      <c r="AO39" s="106">
        <f t="shared" si="20"/>
        <v>-0.49266823999999987</v>
      </c>
      <c r="AP39" s="106">
        <f t="shared" si="21"/>
        <v>-0.36122405999999996</v>
      </c>
    </row>
    <row r="40" spans="2:42">
      <c r="B40" s="105" t="s">
        <v>220</v>
      </c>
      <c r="C40" s="168" t="s">
        <v>340</v>
      </c>
      <c r="D40" s="168" t="s">
        <v>340</v>
      </c>
      <c r="E40" s="168" t="s">
        <v>340</v>
      </c>
      <c r="F40" s="168" t="s">
        <v>340</v>
      </c>
      <c r="G40" s="168" t="s">
        <v>340</v>
      </c>
      <c r="H40" s="168" t="s">
        <v>340</v>
      </c>
      <c r="I40" s="168" t="s">
        <v>340</v>
      </c>
      <c r="J40" s="168" t="s">
        <v>340</v>
      </c>
      <c r="K40" s="168" t="s">
        <v>340</v>
      </c>
      <c r="L40" s="168" t="s">
        <v>340</v>
      </c>
      <c r="M40" s="168" t="s">
        <v>340</v>
      </c>
      <c r="N40" s="168" t="s">
        <v>340</v>
      </c>
      <c r="O40" s="168" t="s">
        <v>340</v>
      </c>
      <c r="P40" s="168" t="s">
        <v>340</v>
      </c>
      <c r="Q40" s="168" t="s">
        <v>340</v>
      </c>
      <c r="R40" s="168" t="s">
        <v>340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G40" s="106">
        <v>-0.3824061000000003</v>
      </c>
      <c r="AH40" s="106">
        <v>-0.26735967000000027</v>
      </c>
      <c r="AI40" s="106">
        <v>-0.48982658000000012</v>
      </c>
      <c r="AJ40" s="106">
        <v>-0.26980019999999993</v>
      </c>
      <c r="AL40" s="106" t="s">
        <v>365</v>
      </c>
      <c r="AM40" s="106">
        <f t="shared" si="18"/>
        <v>-1.6060378800000001</v>
      </c>
      <c r="AN40" s="106">
        <f t="shared" si="19"/>
        <v>7.64945811E-2</v>
      </c>
      <c r="AO40" s="106">
        <f t="shared" si="20"/>
        <v>-1.2194611599999994</v>
      </c>
      <c r="AP40" s="106">
        <f t="shared" si="21"/>
        <v>-1.2684223600000006</v>
      </c>
    </row>
    <row r="41" spans="2:42">
      <c r="B41" s="105" t="s">
        <v>221</v>
      </c>
      <c r="C41" s="168" t="s">
        <v>340</v>
      </c>
      <c r="D41" s="168" t="s">
        <v>340</v>
      </c>
      <c r="E41" s="168" t="s">
        <v>340</v>
      </c>
      <c r="F41" s="168" t="s">
        <v>340</v>
      </c>
      <c r="G41" s="168" t="s">
        <v>340</v>
      </c>
      <c r="H41" s="168" t="s">
        <v>340</v>
      </c>
      <c r="I41" s="168" t="s">
        <v>340</v>
      </c>
      <c r="J41" s="168" t="s">
        <v>340</v>
      </c>
      <c r="K41" s="168" t="s">
        <v>340</v>
      </c>
      <c r="L41" s="168" t="s">
        <v>340</v>
      </c>
      <c r="M41" s="168" t="s">
        <v>340</v>
      </c>
      <c r="N41" s="168" t="s">
        <v>340</v>
      </c>
      <c r="O41" s="168" t="s">
        <v>340</v>
      </c>
      <c r="P41" s="168" t="s">
        <v>340</v>
      </c>
      <c r="Q41" s="168" t="s">
        <v>340</v>
      </c>
      <c r="R41" s="168" t="s">
        <v>340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G41" s="106">
        <v>-1.5183556099999995</v>
      </c>
      <c r="AH41" s="106">
        <v>-0.91846592999999954</v>
      </c>
      <c r="AI41" s="106">
        <v>-0.75167656999999988</v>
      </c>
      <c r="AJ41" s="106">
        <v>-0.18442446000000001</v>
      </c>
      <c r="AL41" s="106" t="s">
        <v>365</v>
      </c>
      <c r="AM41" s="106">
        <f t="shared" si="18"/>
        <v>-4.5299478499999983</v>
      </c>
      <c r="AN41" s="106">
        <f t="shared" si="19"/>
        <v>-3.864953020700002</v>
      </c>
      <c r="AO41" s="106">
        <f t="shared" si="20"/>
        <v>-5.495443790000003</v>
      </c>
      <c r="AP41" s="106">
        <f t="shared" si="21"/>
        <v>-4.7943204799999988</v>
      </c>
    </row>
    <row r="42" spans="2:42">
      <c r="B42" s="235" t="s">
        <v>222</v>
      </c>
      <c r="C42" s="236" t="s">
        <v>340</v>
      </c>
      <c r="D42" s="236" t="s">
        <v>340</v>
      </c>
      <c r="E42" s="236" t="s">
        <v>340</v>
      </c>
      <c r="F42" s="236" t="s">
        <v>340</v>
      </c>
      <c r="G42" s="236" t="s">
        <v>340</v>
      </c>
      <c r="H42" s="236" t="s">
        <v>340</v>
      </c>
      <c r="I42" s="236" t="s">
        <v>340</v>
      </c>
      <c r="J42" s="236" t="s">
        <v>340</v>
      </c>
      <c r="K42" s="236" t="s">
        <v>340</v>
      </c>
      <c r="L42" s="236" t="s">
        <v>340</v>
      </c>
      <c r="M42" s="236" t="s">
        <v>340</v>
      </c>
      <c r="N42" s="236" t="s">
        <v>340</v>
      </c>
      <c r="O42" s="236" t="s">
        <v>340</v>
      </c>
      <c r="P42" s="236" t="s">
        <v>340</v>
      </c>
      <c r="Q42" s="236" t="s">
        <v>340</v>
      </c>
      <c r="R42" s="236" t="s">
        <v>340</v>
      </c>
      <c r="S42" s="237">
        <v>45.161096070000163</v>
      </c>
      <c r="T42" s="237">
        <v>57.677503760822006</v>
      </c>
      <c r="U42" s="237">
        <v>51.440825400000051</v>
      </c>
      <c r="V42" s="237">
        <v>48.752461950000011</v>
      </c>
      <c r="W42" s="237">
        <v>57.979695663100102</v>
      </c>
      <c r="X42" s="237">
        <v>70.227215840299706</v>
      </c>
      <c r="Y42" s="237">
        <v>61.226067235600013</v>
      </c>
      <c r="Z42" s="237">
        <v>66.452334163000387</v>
      </c>
      <c r="AA42" s="237">
        <v>68.528521060000031</v>
      </c>
      <c r="AB42" s="237">
        <v>74.980122039999927</v>
      </c>
      <c r="AC42" s="237">
        <v>60.704916719999986</v>
      </c>
      <c r="AD42" s="237">
        <v>74.025434480000143</v>
      </c>
      <c r="AE42" s="237">
        <v>71.68715302999999</v>
      </c>
      <c r="AF42" s="237">
        <v>88.161217060000013</v>
      </c>
      <c r="AG42" s="237">
        <v>69.758744569999948</v>
      </c>
      <c r="AH42" s="237">
        <v>78.819119120000011</v>
      </c>
      <c r="AI42" s="237">
        <v>67.828583830000028</v>
      </c>
      <c r="AJ42" s="237">
        <v>76.755127090000016</v>
      </c>
      <c r="AL42" s="237" t="s">
        <v>365</v>
      </c>
      <c r="AM42" s="237">
        <f t="shared" si="18"/>
        <v>203.03188718082225</v>
      </c>
      <c r="AN42" s="237">
        <f t="shared" si="19"/>
        <v>255.88531290200018</v>
      </c>
      <c r="AO42" s="237">
        <f t="shared" si="20"/>
        <v>278.23899430000006</v>
      </c>
      <c r="AP42" s="237">
        <f t="shared" si="21"/>
        <v>308.42623377999996</v>
      </c>
    </row>
    <row r="43" spans="2:42">
      <c r="B43" s="238" t="s">
        <v>26</v>
      </c>
      <c r="C43" s="239" t="s">
        <v>340</v>
      </c>
      <c r="D43" s="239" t="s">
        <v>340</v>
      </c>
      <c r="E43" s="239" t="s">
        <v>340</v>
      </c>
      <c r="F43" s="239" t="s">
        <v>340</v>
      </c>
      <c r="G43" s="239" t="s">
        <v>340</v>
      </c>
      <c r="H43" s="239" t="s">
        <v>340</v>
      </c>
      <c r="I43" s="239" t="s">
        <v>340</v>
      </c>
      <c r="J43" s="239" t="s">
        <v>340</v>
      </c>
      <c r="K43" s="239" t="s">
        <v>340</v>
      </c>
      <c r="L43" s="239" t="s">
        <v>340</v>
      </c>
      <c r="M43" s="239" t="s">
        <v>340</v>
      </c>
      <c r="N43" s="239" t="s">
        <v>340</v>
      </c>
      <c r="O43" s="239" t="s">
        <v>340</v>
      </c>
      <c r="P43" s="239" t="s">
        <v>340</v>
      </c>
      <c r="Q43" s="239" t="s">
        <v>340</v>
      </c>
      <c r="R43" s="239" t="s">
        <v>340</v>
      </c>
      <c r="S43" s="240">
        <v>-15.577865719999993</v>
      </c>
      <c r="T43" s="240">
        <v>-30.196612050003004</v>
      </c>
      <c r="U43" s="240">
        <v>-15.129746090000005</v>
      </c>
      <c r="V43" s="240">
        <v>-29.995880330000013</v>
      </c>
      <c r="W43" s="240">
        <v>-12.583902996399997</v>
      </c>
      <c r="X43" s="240">
        <v>-31.228710707999987</v>
      </c>
      <c r="Y43" s="240">
        <v>-20.789476705199988</v>
      </c>
      <c r="Z43" s="240">
        <v>-34.808259845400102</v>
      </c>
      <c r="AA43" s="240">
        <v>-24.344749400000005</v>
      </c>
      <c r="AB43" s="240">
        <v>-32.429289070000003</v>
      </c>
      <c r="AC43" s="240">
        <v>-18.551138119999994</v>
      </c>
      <c r="AD43" s="240">
        <v>-26.606763440000012</v>
      </c>
      <c r="AE43" s="240">
        <v>-24.351216019999999</v>
      </c>
      <c r="AF43" s="240">
        <v>-34.195319980000008</v>
      </c>
      <c r="AG43" s="240">
        <v>-13.296127740000003</v>
      </c>
      <c r="AH43" s="240">
        <v>-26.483855439999985</v>
      </c>
      <c r="AI43" s="240">
        <v>-29.100176459999997</v>
      </c>
      <c r="AJ43" s="240">
        <v>-25.123247910000007</v>
      </c>
      <c r="AL43" s="240" t="s">
        <v>365</v>
      </c>
      <c r="AM43" s="240">
        <f t="shared" si="18"/>
        <v>-90.90010419000302</v>
      </c>
      <c r="AN43" s="240">
        <f t="shared" si="19"/>
        <v>-99.410350255000083</v>
      </c>
      <c r="AO43" s="240">
        <f t="shared" si="20"/>
        <v>-101.93194003000001</v>
      </c>
      <c r="AP43" s="240">
        <f t="shared" si="21"/>
        <v>-98.326519179999991</v>
      </c>
    </row>
    <row r="44" spans="2:42">
      <c r="B44" s="109" t="s">
        <v>223</v>
      </c>
      <c r="C44" s="170" t="s">
        <v>340</v>
      </c>
      <c r="D44" s="170" t="s">
        <v>340</v>
      </c>
      <c r="E44" s="170" t="s">
        <v>340</v>
      </c>
      <c r="F44" s="170" t="s">
        <v>340</v>
      </c>
      <c r="G44" s="170" t="s">
        <v>340</v>
      </c>
      <c r="H44" s="170" t="s">
        <v>340</v>
      </c>
      <c r="I44" s="170" t="s">
        <v>340</v>
      </c>
      <c r="J44" s="170" t="s">
        <v>340</v>
      </c>
      <c r="K44" s="170" t="s">
        <v>340</v>
      </c>
      <c r="L44" s="170" t="s">
        <v>340</v>
      </c>
      <c r="M44" s="170" t="s">
        <v>340</v>
      </c>
      <c r="N44" s="170" t="s">
        <v>340</v>
      </c>
      <c r="O44" s="170" t="s">
        <v>340</v>
      </c>
      <c r="P44" s="170" t="s">
        <v>340</v>
      </c>
      <c r="Q44" s="170" t="s">
        <v>340</v>
      </c>
      <c r="R44" s="170" t="s">
        <v>340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G44" s="98">
        <v>-3.0828291599999993</v>
      </c>
      <c r="AH44" s="98">
        <v>-8.7442933799999949</v>
      </c>
      <c r="AI44" s="98">
        <v>-6.4436202600000003</v>
      </c>
      <c r="AJ44" s="98">
        <v>-15.527507420000003</v>
      </c>
      <c r="AL44" s="98" t="s">
        <v>365</v>
      </c>
      <c r="AM44" s="98">
        <f t="shared" si="18"/>
        <v>-26.761189080000012</v>
      </c>
      <c r="AN44" s="98">
        <f t="shared" si="19"/>
        <v>-43.345358565699996</v>
      </c>
      <c r="AO44" s="98">
        <f t="shared" si="20"/>
        <v>-31.664269870000002</v>
      </c>
      <c r="AP44" s="98">
        <f t="shared" si="21"/>
        <v>-40.901425639999999</v>
      </c>
    </row>
    <row r="45" spans="2:42">
      <c r="B45" s="109" t="s">
        <v>224</v>
      </c>
      <c r="C45" s="170" t="s">
        <v>340</v>
      </c>
      <c r="D45" s="170" t="s">
        <v>340</v>
      </c>
      <c r="E45" s="170" t="s">
        <v>340</v>
      </c>
      <c r="F45" s="170" t="s">
        <v>340</v>
      </c>
      <c r="G45" s="170" t="s">
        <v>340</v>
      </c>
      <c r="H45" s="170" t="s">
        <v>340</v>
      </c>
      <c r="I45" s="170" t="s">
        <v>340</v>
      </c>
      <c r="J45" s="170" t="s">
        <v>340</v>
      </c>
      <c r="K45" s="170" t="s">
        <v>340</v>
      </c>
      <c r="L45" s="170" t="s">
        <v>340</v>
      </c>
      <c r="M45" s="170" t="s">
        <v>340</v>
      </c>
      <c r="N45" s="170" t="s">
        <v>340</v>
      </c>
      <c r="O45" s="170" t="s">
        <v>340</v>
      </c>
      <c r="P45" s="170" t="s">
        <v>340</v>
      </c>
      <c r="Q45" s="170" t="s">
        <v>340</v>
      </c>
      <c r="R45" s="170" t="s">
        <v>340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G45" s="98">
        <v>-10.213298579999996</v>
      </c>
      <c r="AH45" s="98">
        <v>-17.739562060000004</v>
      </c>
      <c r="AI45" s="98">
        <v>-22.656556199999997</v>
      </c>
      <c r="AJ45" s="98">
        <v>-9.5957404900000043</v>
      </c>
      <c r="AL45" s="98" t="s">
        <v>365</v>
      </c>
      <c r="AM45" s="98">
        <f t="shared" si="18"/>
        <v>-64.138915110003012</v>
      </c>
      <c r="AN45" s="98">
        <f t="shared" si="19"/>
        <v>-56.064991689300065</v>
      </c>
      <c r="AO45" s="98">
        <f t="shared" si="20"/>
        <v>-70.267670160000009</v>
      </c>
      <c r="AP45" s="98">
        <f t="shared" si="21"/>
        <v>-57.425093539999999</v>
      </c>
    </row>
    <row r="46" spans="2:42">
      <c r="B46" s="233" t="s">
        <v>29</v>
      </c>
      <c r="C46" s="231" t="s">
        <v>340</v>
      </c>
      <c r="D46" s="231" t="s">
        <v>340</v>
      </c>
      <c r="E46" s="231" t="s">
        <v>340</v>
      </c>
      <c r="F46" s="231" t="s">
        <v>340</v>
      </c>
      <c r="G46" s="231" t="s">
        <v>340</v>
      </c>
      <c r="H46" s="231" t="s">
        <v>340</v>
      </c>
      <c r="I46" s="231" t="s">
        <v>340</v>
      </c>
      <c r="J46" s="231" t="s">
        <v>340</v>
      </c>
      <c r="K46" s="231" t="s">
        <v>340</v>
      </c>
      <c r="L46" s="231" t="s">
        <v>340</v>
      </c>
      <c r="M46" s="231" t="s">
        <v>340</v>
      </c>
      <c r="N46" s="231" t="s">
        <v>340</v>
      </c>
      <c r="O46" s="231" t="s">
        <v>340</v>
      </c>
      <c r="P46" s="231" t="s">
        <v>340</v>
      </c>
      <c r="Q46" s="231" t="s">
        <v>340</v>
      </c>
      <c r="R46" s="231" t="s">
        <v>340</v>
      </c>
      <c r="S46" s="234">
        <v>-17.972029549999995</v>
      </c>
      <c r="T46" s="234">
        <v>-14.776559910000001</v>
      </c>
      <c r="U46" s="234">
        <v>-15.397366820000009</v>
      </c>
      <c r="V46" s="234">
        <v>-13.908559749999988</v>
      </c>
      <c r="W46" s="234">
        <v>-24.964590750799999</v>
      </c>
      <c r="X46" s="234">
        <v>-23.709427946299986</v>
      </c>
      <c r="Y46" s="234">
        <v>-24.628757855999986</v>
      </c>
      <c r="Z46" s="234">
        <v>-20.55754388190002</v>
      </c>
      <c r="AA46" s="234">
        <v>-15.641652229999996</v>
      </c>
      <c r="AB46" s="234">
        <v>-19.220610180000016</v>
      </c>
      <c r="AC46" s="234">
        <v>-17.163082909999989</v>
      </c>
      <c r="AD46" s="234">
        <v>-13.177252680000013</v>
      </c>
      <c r="AE46" s="234">
        <v>-17.140509429999998</v>
      </c>
      <c r="AF46" s="234">
        <v>-16.194434640000001</v>
      </c>
      <c r="AG46" s="234">
        <v>-15.494468589999997</v>
      </c>
      <c r="AH46" s="234">
        <v>-11.906862539999992</v>
      </c>
      <c r="AI46" s="234">
        <v>-14.727859410000001</v>
      </c>
      <c r="AJ46" s="234">
        <v>-12.526784189999997</v>
      </c>
      <c r="AL46" s="234" t="s">
        <v>365</v>
      </c>
      <c r="AM46" s="234">
        <f t="shared" si="18"/>
        <v>-62.054516029999995</v>
      </c>
      <c r="AN46" s="234">
        <f t="shared" si="19"/>
        <v>-93.860320434999977</v>
      </c>
      <c r="AO46" s="234">
        <f t="shared" si="20"/>
        <v>-65.202598000000009</v>
      </c>
      <c r="AP46" s="234">
        <f t="shared" si="21"/>
        <v>-60.736275199999987</v>
      </c>
    </row>
    <row r="47" spans="2:42">
      <c r="B47" s="109" t="s">
        <v>225</v>
      </c>
      <c r="C47" s="170" t="s">
        <v>340</v>
      </c>
      <c r="D47" s="170" t="s">
        <v>340</v>
      </c>
      <c r="E47" s="170" t="s">
        <v>340</v>
      </c>
      <c r="F47" s="170" t="s">
        <v>340</v>
      </c>
      <c r="G47" s="170" t="s">
        <v>340</v>
      </c>
      <c r="H47" s="170" t="s">
        <v>340</v>
      </c>
      <c r="I47" s="170" t="s">
        <v>340</v>
      </c>
      <c r="J47" s="170" t="s">
        <v>340</v>
      </c>
      <c r="K47" s="170" t="s">
        <v>340</v>
      </c>
      <c r="L47" s="170" t="s">
        <v>340</v>
      </c>
      <c r="M47" s="170" t="s">
        <v>340</v>
      </c>
      <c r="N47" s="170" t="s">
        <v>340</v>
      </c>
      <c r="O47" s="170" t="s">
        <v>340</v>
      </c>
      <c r="P47" s="170" t="s">
        <v>340</v>
      </c>
      <c r="Q47" s="170" t="s">
        <v>340</v>
      </c>
      <c r="R47" s="170" t="s">
        <v>340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G47" s="98">
        <v>-10.592258109999996</v>
      </c>
      <c r="AH47" s="98">
        <v>-6.2924689299999912</v>
      </c>
      <c r="AI47" s="98">
        <v>-12.407024679999999</v>
      </c>
      <c r="AJ47" s="98">
        <v>-8.6061521700000014</v>
      </c>
      <c r="AL47" s="98" t="s">
        <v>365</v>
      </c>
      <c r="AM47" s="98">
        <f t="shared" si="18"/>
        <v>-44.318050939999992</v>
      </c>
      <c r="AN47" s="98">
        <f t="shared" si="19"/>
        <v>-55.159144927700012</v>
      </c>
      <c r="AO47" s="98">
        <f t="shared" si="20"/>
        <v>-46.07801245000001</v>
      </c>
      <c r="AP47" s="98">
        <f t="shared" si="21"/>
        <v>-40.946395609999989</v>
      </c>
    </row>
    <row r="48" spans="2:42">
      <c r="B48" s="109" t="s">
        <v>226</v>
      </c>
      <c r="C48" s="170" t="s">
        <v>340</v>
      </c>
      <c r="D48" s="170" t="s">
        <v>340</v>
      </c>
      <c r="E48" s="170" t="s">
        <v>340</v>
      </c>
      <c r="F48" s="170" t="s">
        <v>340</v>
      </c>
      <c r="G48" s="170" t="s">
        <v>340</v>
      </c>
      <c r="H48" s="170" t="s">
        <v>340</v>
      </c>
      <c r="I48" s="170" t="s">
        <v>340</v>
      </c>
      <c r="J48" s="170" t="s">
        <v>340</v>
      </c>
      <c r="K48" s="170" t="s">
        <v>340</v>
      </c>
      <c r="L48" s="170" t="s">
        <v>340</v>
      </c>
      <c r="M48" s="170" t="s">
        <v>340</v>
      </c>
      <c r="N48" s="170" t="s">
        <v>340</v>
      </c>
      <c r="O48" s="170" t="s">
        <v>340</v>
      </c>
      <c r="P48" s="170" t="s">
        <v>340</v>
      </c>
      <c r="Q48" s="170" t="s">
        <v>340</v>
      </c>
      <c r="R48" s="170" t="s">
        <v>340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G48" s="98">
        <v>-4.0543812400000006</v>
      </c>
      <c r="AH48" s="98">
        <v>-4.8389846100000007</v>
      </c>
      <c r="AI48" s="98">
        <v>-1.7846468799999995</v>
      </c>
      <c r="AJ48" s="98">
        <v>-3.5152919099999984</v>
      </c>
      <c r="AL48" s="98" t="s">
        <v>365</v>
      </c>
      <c r="AM48" s="98">
        <f t="shared" si="18"/>
        <v>-14.140656509999999</v>
      </c>
      <c r="AN48" s="98">
        <f t="shared" si="19"/>
        <v>-32.823763175399989</v>
      </c>
      <c r="AO48" s="98">
        <f t="shared" si="20"/>
        <v>-15.028900630000006</v>
      </c>
      <c r="AP48" s="98">
        <f t="shared" si="21"/>
        <v>-16.541768000000001</v>
      </c>
    </row>
    <row r="49" spans="2:43">
      <c r="B49" s="109" t="s">
        <v>227</v>
      </c>
      <c r="C49" s="170" t="s">
        <v>340</v>
      </c>
      <c r="D49" s="170" t="s">
        <v>340</v>
      </c>
      <c r="E49" s="170" t="s">
        <v>340</v>
      </c>
      <c r="F49" s="170" t="s">
        <v>340</v>
      </c>
      <c r="G49" s="170" t="s">
        <v>340</v>
      </c>
      <c r="H49" s="170" t="s">
        <v>340</v>
      </c>
      <c r="I49" s="170" t="s">
        <v>340</v>
      </c>
      <c r="J49" s="170" t="s">
        <v>340</v>
      </c>
      <c r="K49" s="170" t="s">
        <v>340</v>
      </c>
      <c r="L49" s="170" t="s">
        <v>340</v>
      </c>
      <c r="M49" s="170" t="s">
        <v>340</v>
      </c>
      <c r="N49" s="170" t="s">
        <v>340</v>
      </c>
      <c r="O49" s="170" t="s">
        <v>340</v>
      </c>
      <c r="P49" s="170" t="s">
        <v>340</v>
      </c>
      <c r="Q49" s="170" t="s">
        <v>340</v>
      </c>
      <c r="R49" s="170" t="s">
        <v>340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G49" s="98">
        <v>-9.6335059999999917E-2</v>
      </c>
      <c r="AH49" s="98">
        <v>-0.16669988000000036</v>
      </c>
      <c r="AI49" s="98">
        <v>-1.6053000000004758E-4</v>
      </c>
      <c r="AJ49" s="98">
        <v>-2.1968999999977257E-4</v>
      </c>
      <c r="AL49" s="98" t="s">
        <v>365</v>
      </c>
      <c r="AM49" s="98">
        <f t="shared" si="18"/>
        <v>-0.92765138999999974</v>
      </c>
      <c r="AN49" s="98">
        <f t="shared" si="19"/>
        <v>-3.1142999171000003</v>
      </c>
      <c r="AO49" s="98">
        <f t="shared" si="20"/>
        <v>-1.0263143799999999</v>
      </c>
      <c r="AP49" s="98">
        <f t="shared" si="21"/>
        <v>-0.48487054000000018</v>
      </c>
    </row>
    <row r="50" spans="2:43">
      <c r="B50" s="109" t="s">
        <v>228</v>
      </c>
      <c r="C50" s="170" t="s">
        <v>340</v>
      </c>
      <c r="D50" s="170" t="s">
        <v>340</v>
      </c>
      <c r="E50" s="170" t="s">
        <v>340</v>
      </c>
      <c r="F50" s="170" t="s">
        <v>340</v>
      </c>
      <c r="G50" s="170" t="s">
        <v>340</v>
      </c>
      <c r="H50" s="170" t="s">
        <v>340</v>
      </c>
      <c r="I50" s="170" t="s">
        <v>340</v>
      </c>
      <c r="J50" s="170" t="s">
        <v>340</v>
      </c>
      <c r="K50" s="170" t="s">
        <v>340</v>
      </c>
      <c r="L50" s="170" t="s">
        <v>340</v>
      </c>
      <c r="M50" s="170" t="s">
        <v>340</v>
      </c>
      <c r="N50" s="170" t="s">
        <v>340</v>
      </c>
      <c r="O50" s="170" t="s">
        <v>340</v>
      </c>
      <c r="P50" s="170" t="s">
        <v>340</v>
      </c>
      <c r="Q50" s="170" t="s">
        <v>340</v>
      </c>
      <c r="R50" s="170" t="s">
        <v>340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G50" s="98">
        <v>-0.75149418000000034</v>
      </c>
      <c r="AH50" s="98">
        <v>-0.60870912000000033</v>
      </c>
      <c r="AI50" s="98">
        <v>-0.53602732000000008</v>
      </c>
      <c r="AJ50" s="98">
        <v>-0.4051204199999997</v>
      </c>
      <c r="AL50" s="98" t="s">
        <v>365</v>
      </c>
      <c r="AM50" s="98">
        <f t="shared" si="18"/>
        <v>-2.6681571900000001</v>
      </c>
      <c r="AN50" s="98">
        <f t="shared" si="19"/>
        <v>-2.7631124148000006</v>
      </c>
      <c r="AO50" s="98">
        <f t="shared" si="20"/>
        <v>-3.0693705399999991</v>
      </c>
      <c r="AP50" s="98">
        <f t="shared" si="21"/>
        <v>-2.7632410500000004</v>
      </c>
    </row>
    <row r="51" spans="2:43">
      <c r="B51" s="233" t="s">
        <v>30</v>
      </c>
      <c r="C51" s="231" t="s">
        <v>340</v>
      </c>
      <c r="D51" s="231" t="s">
        <v>340</v>
      </c>
      <c r="E51" s="231" t="s">
        <v>340</v>
      </c>
      <c r="F51" s="231" t="s">
        <v>340</v>
      </c>
      <c r="G51" s="231" t="s">
        <v>340</v>
      </c>
      <c r="H51" s="231" t="s">
        <v>340</v>
      </c>
      <c r="I51" s="231" t="s">
        <v>340</v>
      </c>
      <c r="J51" s="231" t="s">
        <v>340</v>
      </c>
      <c r="K51" s="231" t="s">
        <v>340</v>
      </c>
      <c r="L51" s="231" t="s">
        <v>340</v>
      </c>
      <c r="M51" s="231" t="s">
        <v>340</v>
      </c>
      <c r="N51" s="231" t="s">
        <v>340</v>
      </c>
      <c r="O51" s="231" t="s">
        <v>340</v>
      </c>
      <c r="P51" s="231" t="s">
        <v>340</v>
      </c>
      <c r="Q51" s="231" t="s">
        <v>340</v>
      </c>
      <c r="R51" s="231" t="s">
        <v>340</v>
      </c>
      <c r="S51" s="234">
        <v>-0.93210828000000068</v>
      </c>
      <c r="T51" s="234">
        <v>-0.99457320000000071</v>
      </c>
      <c r="U51" s="234">
        <v>-6.0971259999999229E-2</v>
      </c>
      <c r="V51" s="234">
        <v>-1.4148948400000001</v>
      </c>
      <c r="W51" s="234">
        <v>0.7215250825999997</v>
      </c>
      <c r="X51" s="234">
        <v>-9.4679205599999983E-2</v>
      </c>
      <c r="Y51" s="234">
        <v>-0.25418087690000002</v>
      </c>
      <c r="Z51" s="234">
        <v>-1.5767786318000012</v>
      </c>
      <c r="AA51" s="234">
        <v>-4.0861999999999984E-4</v>
      </c>
      <c r="AB51" s="234">
        <v>-4.1154689999999994E-2</v>
      </c>
      <c r="AC51" s="234">
        <v>-3.7044380000000009E-2</v>
      </c>
      <c r="AD51" s="234">
        <v>-5.6469919999999979E-2</v>
      </c>
      <c r="AE51" s="234">
        <v>3.1575279999999969E-2</v>
      </c>
      <c r="AF51" s="234">
        <v>-0.46841838999999991</v>
      </c>
      <c r="AG51" s="234">
        <v>0.26699183999999992</v>
      </c>
      <c r="AH51" s="234">
        <v>-0.30422907999999993</v>
      </c>
      <c r="AI51" s="234">
        <v>-0.55593433999999997</v>
      </c>
      <c r="AJ51" s="234">
        <v>0.42164268999999988</v>
      </c>
      <c r="AL51" s="234" t="s">
        <v>365</v>
      </c>
      <c r="AM51" s="234">
        <f t="shared" si="18"/>
        <v>-3.4025475800000007</v>
      </c>
      <c r="AN51" s="234">
        <f t="shared" si="19"/>
        <v>-1.2041136317000016</v>
      </c>
      <c r="AO51" s="234">
        <f t="shared" si="20"/>
        <v>-0.13507760999999999</v>
      </c>
      <c r="AP51" s="234">
        <f t="shared" si="21"/>
        <v>-0.47408034999999993</v>
      </c>
    </row>
    <row r="52" spans="2:43">
      <c r="B52" s="109" t="s">
        <v>229</v>
      </c>
      <c r="C52" s="170" t="s">
        <v>340</v>
      </c>
      <c r="D52" s="170" t="s">
        <v>340</v>
      </c>
      <c r="E52" s="170" t="s">
        <v>340</v>
      </c>
      <c r="F52" s="170" t="s">
        <v>340</v>
      </c>
      <c r="G52" s="170" t="s">
        <v>340</v>
      </c>
      <c r="H52" s="170" t="s">
        <v>340</v>
      </c>
      <c r="I52" s="170" t="s">
        <v>340</v>
      </c>
      <c r="J52" s="170" t="s">
        <v>340</v>
      </c>
      <c r="K52" s="170" t="s">
        <v>340</v>
      </c>
      <c r="L52" s="170" t="s">
        <v>340</v>
      </c>
      <c r="M52" s="170" t="s">
        <v>340</v>
      </c>
      <c r="N52" s="170" t="s">
        <v>340</v>
      </c>
      <c r="O52" s="170" t="s">
        <v>340</v>
      </c>
      <c r="P52" s="170" t="s">
        <v>340</v>
      </c>
      <c r="Q52" s="170" t="s">
        <v>340</v>
      </c>
      <c r="R52" s="170" t="s">
        <v>340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G52" s="98">
        <v>0.67170625999999989</v>
      </c>
      <c r="AH52" s="98">
        <v>0</v>
      </c>
      <c r="AI52" s="98">
        <v>0</v>
      </c>
      <c r="AJ52" s="98">
        <v>0</v>
      </c>
      <c r="AL52" s="98" t="s">
        <v>365</v>
      </c>
      <c r="AM52" s="98">
        <f t="shared" si="18"/>
        <v>2.4093100000000048E-3</v>
      </c>
      <c r="AN52" s="98">
        <f t="shared" si="19"/>
        <v>-1.3943570099999913E-2</v>
      </c>
      <c r="AO52" s="98">
        <f t="shared" si="20"/>
        <v>0</v>
      </c>
      <c r="AP52" s="98">
        <f t="shared" si="21"/>
        <v>0.32027615999999992</v>
      </c>
    </row>
    <row r="53" spans="2:43">
      <c r="B53" s="109" t="s">
        <v>17</v>
      </c>
      <c r="C53" s="170" t="s">
        <v>340</v>
      </c>
      <c r="D53" s="170" t="s">
        <v>340</v>
      </c>
      <c r="E53" s="170" t="s">
        <v>340</v>
      </c>
      <c r="F53" s="170" t="s">
        <v>340</v>
      </c>
      <c r="G53" s="170" t="s">
        <v>340</v>
      </c>
      <c r="H53" s="170" t="s">
        <v>340</v>
      </c>
      <c r="I53" s="170" t="s">
        <v>340</v>
      </c>
      <c r="J53" s="170" t="s">
        <v>340</v>
      </c>
      <c r="K53" s="170" t="s">
        <v>340</v>
      </c>
      <c r="L53" s="170" t="s">
        <v>340</v>
      </c>
      <c r="M53" s="170" t="s">
        <v>340</v>
      </c>
      <c r="N53" s="170" t="s">
        <v>340</v>
      </c>
      <c r="O53" s="170" t="s">
        <v>340</v>
      </c>
      <c r="P53" s="170" t="s">
        <v>340</v>
      </c>
      <c r="Q53" s="170" t="s">
        <v>340</v>
      </c>
      <c r="R53" s="170" t="s">
        <v>340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G53" s="98">
        <v>-0.11718380999999999</v>
      </c>
      <c r="AH53" s="98">
        <v>-2.0781880000000003E-2</v>
      </c>
      <c r="AI53" s="98">
        <v>-1.8223979999999997E-2</v>
      </c>
      <c r="AJ53" s="98">
        <v>-1.7737600000000003E-2</v>
      </c>
      <c r="AL53" s="98" t="s">
        <v>365</v>
      </c>
      <c r="AM53" s="98">
        <f t="shared" si="18"/>
        <v>-0.80327304999999993</v>
      </c>
      <c r="AN53" s="98">
        <f t="shared" si="19"/>
        <v>-5.646560950000002E-2</v>
      </c>
      <c r="AO53" s="98">
        <f t="shared" si="20"/>
        <v>-0.13601776999999998</v>
      </c>
      <c r="AP53" s="98">
        <f t="shared" si="21"/>
        <v>-0.23259327999999999</v>
      </c>
    </row>
    <row r="54" spans="2:43">
      <c r="B54" s="109" t="s">
        <v>30</v>
      </c>
      <c r="C54" s="170" t="s">
        <v>340</v>
      </c>
      <c r="D54" s="170" t="s">
        <v>340</v>
      </c>
      <c r="E54" s="170" t="s">
        <v>340</v>
      </c>
      <c r="F54" s="170" t="s">
        <v>340</v>
      </c>
      <c r="G54" s="170" t="s">
        <v>340</v>
      </c>
      <c r="H54" s="170" t="s">
        <v>340</v>
      </c>
      <c r="I54" s="170" t="s">
        <v>340</v>
      </c>
      <c r="J54" s="170" t="s">
        <v>340</v>
      </c>
      <c r="K54" s="170" t="s">
        <v>340</v>
      </c>
      <c r="L54" s="170" t="s">
        <v>340</v>
      </c>
      <c r="M54" s="170" t="s">
        <v>340</v>
      </c>
      <c r="N54" s="170" t="s">
        <v>340</v>
      </c>
      <c r="O54" s="170" t="s">
        <v>340</v>
      </c>
      <c r="P54" s="170" t="s">
        <v>340</v>
      </c>
      <c r="Q54" s="170" t="s">
        <v>340</v>
      </c>
      <c r="R54" s="170" t="s">
        <v>340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G54" s="98">
        <v>-0.28753061000000002</v>
      </c>
      <c r="AH54" s="98">
        <v>-0.28344719999999995</v>
      </c>
      <c r="AI54" s="98">
        <v>-0.53771035999999994</v>
      </c>
      <c r="AJ54" s="98">
        <v>0.43938028999999984</v>
      </c>
      <c r="AL54" s="98" t="s">
        <v>365</v>
      </c>
      <c r="AM54" s="98">
        <f t="shared" si="18"/>
        <v>-2.6016838400000006</v>
      </c>
      <c r="AN54" s="98">
        <f t="shared" si="19"/>
        <v>-1.1337044521000015</v>
      </c>
      <c r="AO54" s="98">
        <f t="shared" si="20"/>
        <v>9.4016000000000011E-4</v>
      </c>
      <c r="AP54" s="98">
        <f t="shared" si="21"/>
        <v>-0.56176322999999995</v>
      </c>
    </row>
    <row r="55" spans="2:43">
      <c r="B55" s="233" t="s">
        <v>34</v>
      </c>
      <c r="C55" s="231" t="s">
        <v>340</v>
      </c>
      <c r="D55" s="231" t="s">
        <v>340</v>
      </c>
      <c r="E55" s="231" t="s">
        <v>340</v>
      </c>
      <c r="F55" s="231" t="s">
        <v>340</v>
      </c>
      <c r="G55" s="231" t="s">
        <v>340</v>
      </c>
      <c r="H55" s="231" t="s">
        <v>340</v>
      </c>
      <c r="I55" s="231" t="s">
        <v>340</v>
      </c>
      <c r="J55" s="231" t="s">
        <v>340</v>
      </c>
      <c r="K55" s="231" t="s">
        <v>340</v>
      </c>
      <c r="L55" s="231" t="s">
        <v>340</v>
      </c>
      <c r="M55" s="231" t="s">
        <v>340</v>
      </c>
      <c r="N55" s="231" t="s">
        <v>340</v>
      </c>
      <c r="O55" s="231" t="s">
        <v>340</v>
      </c>
      <c r="P55" s="231" t="s">
        <v>340</v>
      </c>
      <c r="Q55" s="231" t="s">
        <v>340</v>
      </c>
      <c r="R55" s="231" t="s">
        <v>340</v>
      </c>
      <c r="S55" s="234">
        <v>0.50549763999999997</v>
      </c>
      <c r="T55" s="234">
        <v>0.46251035000000007</v>
      </c>
      <c r="U55" s="234">
        <v>0.10338800999999981</v>
      </c>
      <c r="V55" s="234">
        <v>0</v>
      </c>
      <c r="W55" s="234">
        <v>0.505498</v>
      </c>
      <c r="X55" s="234">
        <v>-0.505498</v>
      </c>
      <c r="Y55" s="234">
        <v>0</v>
      </c>
      <c r="Z55" s="234">
        <v>0</v>
      </c>
      <c r="AA55" s="234">
        <v>1.0782933099999901</v>
      </c>
      <c r="AB55" s="234">
        <v>0.98301930000000981</v>
      </c>
      <c r="AC55" s="234">
        <v>1.1349390299999902</v>
      </c>
      <c r="AD55" s="234">
        <v>0.63196203000000972</v>
      </c>
      <c r="AE55" s="234">
        <v>1.1205401299999997</v>
      </c>
      <c r="AF55" s="234">
        <v>0.80163318000000006</v>
      </c>
      <c r="AG55" s="234">
        <v>1.9075295299999997</v>
      </c>
      <c r="AH55" s="234">
        <v>2.9486272900000001</v>
      </c>
      <c r="AI55" s="234">
        <v>2.4883113699999999</v>
      </c>
      <c r="AJ55" s="234">
        <v>1.89107001</v>
      </c>
      <c r="AL55" s="234" t="s">
        <v>365</v>
      </c>
      <c r="AM55" s="234">
        <f t="shared" si="18"/>
        <v>1.0713959999999998</v>
      </c>
      <c r="AN55" s="234">
        <f t="shared" si="19"/>
        <v>0</v>
      </c>
      <c r="AO55" s="234">
        <f t="shared" si="20"/>
        <v>3.8282136699999998</v>
      </c>
      <c r="AP55" s="234">
        <f t="shared" si="21"/>
        <v>6.7783301299999996</v>
      </c>
    </row>
    <row r="56" spans="2:43" ht="30">
      <c r="B56" s="230" t="s">
        <v>349</v>
      </c>
      <c r="C56" s="231" t="s">
        <v>340</v>
      </c>
      <c r="D56" s="231" t="s">
        <v>340</v>
      </c>
      <c r="E56" s="231" t="s">
        <v>340</v>
      </c>
      <c r="F56" s="231" t="s">
        <v>340</v>
      </c>
      <c r="G56" s="231" t="s">
        <v>340</v>
      </c>
      <c r="H56" s="231" t="s">
        <v>340</v>
      </c>
      <c r="I56" s="231" t="s">
        <v>340</v>
      </c>
      <c r="J56" s="231" t="s">
        <v>340</v>
      </c>
      <c r="K56" s="231" t="s">
        <v>340</v>
      </c>
      <c r="L56" s="231" t="s">
        <v>340</v>
      </c>
      <c r="M56" s="231" t="s">
        <v>340</v>
      </c>
      <c r="N56" s="231" t="s">
        <v>340</v>
      </c>
      <c r="O56" s="231" t="s">
        <v>340</v>
      </c>
      <c r="P56" s="231" t="s">
        <v>340</v>
      </c>
      <c r="Q56" s="231" t="s">
        <v>340</v>
      </c>
      <c r="R56" s="231" t="s">
        <v>340</v>
      </c>
      <c r="S56" s="234">
        <v>11.184590160000173</v>
      </c>
      <c r="T56" s="234">
        <v>12.172268950818999</v>
      </c>
      <c r="U56" s="234">
        <v>20.956129240000038</v>
      </c>
      <c r="V56" s="234">
        <v>3.4331270300000103</v>
      </c>
      <c r="W56" s="234">
        <v>21.658224998500106</v>
      </c>
      <c r="X56" s="234">
        <v>14.688899980399729</v>
      </c>
      <c r="Y56" s="234">
        <v>15.553651797500031</v>
      </c>
      <c r="Z56" s="234">
        <v>9.5097518039002686</v>
      </c>
      <c r="AA56" s="234">
        <v>29.620004120000015</v>
      </c>
      <c r="AB56" s="234">
        <v>24.272087399999918</v>
      </c>
      <c r="AC56" s="234">
        <v>26.088590339999996</v>
      </c>
      <c r="AD56" s="234">
        <v>34.816910470000138</v>
      </c>
      <c r="AE56" s="234">
        <v>31.347542989999994</v>
      </c>
      <c r="AF56" s="234">
        <v>38.104677230000007</v>
      </c>
      <c r="AG56" s="234">
        <v>43.142669609999942</v>
      </c>
      <c r="AH56" s="234">
        <v>43.072799350000025</v>
      </c>
      <c r="AI56" s="234">
        <v>25.932924990000032</v>
      </c>
      <c r="AJ56" s="234">
        <v>41.417807690000018</v>
      </c>
      <c r="AL56" s="234" t="s">
        <v>365</v>
      </c>
      <c r="AM56" s="234">
        <f t="shared" si="18"/>
        <v>47.746115380819219</v>
      </c>
      <c r="AN56" s="234">
        <f t="shared" si="19"/>
        <v>61.410528580300138</v>
      </c>
      <c r="AO56" s="234">
        <f t="shared" si="20"/>
        <v>114.79759233000007</v>
      </c>
      <c r="AP56" s="234">
        <f t="shared" si="21"/>
        <v>155.66768917999997</v>
      </c>
    </row>
    <row r="57" spans="2:43"/>
    <row r="58" spans="2:43"/>
    <row r="59" spans="2:43">
      <c r="B59" s="173" t="s">
        <v>253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L59" s="174"/>
      <c r="AM59" s="174"/>
      <c r="AN59" s="174"/>
      <c r="AO59" s="174"/>
      <c r="AP59" s="174"/>
    </row>
    <row r="60" spans="2:43">
      <c r="B60" s="97" t="s">
        <v>16</v>
      </c>
      <c r="C60" s="168" t="s">
        <v>340</v>
      </c>
      <c r="D60" s="168" t="s">
        <v>340</v>
      </c>
      <c r="E60" s="168" t="s">
        <v>340</v>
      </c>
      <c r="F60" s="168" t="s">
        <v>340</v>
      </c>
      <c r="G60" s="168" t="s">
        <v>340</v>
      </c>
      <c r="H60" s="168" t="s">
        <v>340</v>
      </c>
      <c r="I60" s="168" t="s">
        <v>340</v>
      </c>
      <c r="J60" s="168" t="s">
        <v>340</v>
      </c>
      <c r="K60" s="168" t="s">
        <v>340</v>
      </c>
      <c r="L60" s="168" t="s">
        <v>340</v>
      </c>
      <c r="M60" s="168" t="s">
        <v>340</v>
      </c>
      <c r="N60" s="168" t="s">
        <v>340</v>
      </c>
      <c r="O60" s="168" t="s">
        <v>340</v>
      </c>
      <c r="P60" s="168" t="s">
        <v>340</v>
      </c>
      <c r="Q60" s="168" t="s">
        <v>340</v>
      </c>
      <c r="R60" s="168" t="s">
        <v>340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G60" s="98">
        <v>511.91564418999997</v>
      </c>
      <c r="AH60" s="98">
        <v>518.83976610000082</v>
      </c>
      <c r="AI60" s="98">
        <v>552.87225489000002</v>
      </c>
      <c r="AJ60" s="98">
        <v>560.91341235999994</v>
      </c>
      <c r="AL60" s="98" t="s">
        <v>365</v>
      </c>
      <c r="AM60" s="98">
        <f t="shared" ref="AM60:AM70" si="22">SUM(S60:V60)</f>
        <v>1367.2697700099998</v>
      </c>
      <c r="AN60" s="98">
        <f t="shared" ref="AN60:AN70" si="23">SUM(W60:Z60)</f>
        <v>1622.6443746400003</v>
      </c>
      <c r="AO60" s="98">
        <f t="shared" ref="AO60:AO83" si="24">SUM(AA60:AD60)</f>
        <v>1788.93452901</v>
      </c>
      <c r="AP60" s="98">
        <f t="shared" ref="AP60:AP83" si="25">SUM(AE60:AH60)</f>
        <v>2052.0198225200006</v>
      </c>
    </row>
    <row r="61" spans="2:43">
      <c r="B61" s="97" t="s">
        <v>81</v>
      </c>
      <c r="C61" s="168" t="s">
        <v>340</v>
      </c>
      <c r="D61" s="168" t="s">
        <v>340</v>
      </c>
      <c r="E61" s="168" t="s">
        <v>340</v>
      </c>
      <c r="F61" s="168" t="s">
        <v>340</v>
      </c>
      <c r="G61" s="168" t="s">
        <v>340</v>
      </c>
      <c r="H61" s="168" t="s">
        <v>340</v>
      </c>
      <c r="I61" s="168" t="s">
        <v>340</v>
      </c>
      <c r="J61" s="168" t="s">
        <v>340</v>
      </c>
      <c r="K61" s="168" t="s">
        <v>340</v>
      </c>
      <c r="L61" s="168" t="s">
        <v>340</v>
      </c>
      <c r="M61" s="168" t="s">
        <v>340</v>
      </c>
      <c r="N61" s="168" t="s">
        <v>340</v>
      </c>
      <c r="O61" s="168" t="s">
        <v>340</v>
      </c>
      <c r="P61" s="168" t="s">
        <v>340</v>
      </c>
      <c r="Q61" s="168" t="s">
        <v>340</v>
      </c>
      <c r="R61" s="168" t="s">
        <v>340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G61" s="98">
        <v>-118.40480474999993</v>
      </c>
      <c r="AH61" s="98">
        <v>-113.69875473000008</v>
      </c>
      <c r="AI61" s="98">
        <v>-126.54779751999999</v>
      </c>
      <c r="AJ61" s="98">
        <v>-130.19045712999994</v>
      </c>
      <c r="AL61" s="98" t="s">
        <v>365</v>
      </c>
      <c r="AM61" s="98">
        <f t="shared" si="22"/>
        <v>-239.82226695</v>
      </c>
      <c r="AN61" s="98">
        <f t="shared" si="23"/>
        <v>-319.55928387</v>
      </c>
      <c r="AO61" s="98">
        <f t="shared" si="24"/>
        <v>-335.02787697000002</v>
      </c>
      <c r="AP61" s="98">
        <f t="shared" si="25"/>
        <v>-457.08273536000002</v>
      </c>
    </row>
    <row r="62" spans="2:43">
      <c r="B62" s="97" t="s">
        <v>17</v>
      </c>
      <c r="C62" s="168" t="s">
        <v>340</v>
      </c>
      <c r="D62" s="168" t="s">
        <v>340</v>
      </c>
      <c r="E62" s="168" t="s">
        <v>340</v>
      </c>
      <c r="F62" s="168" t="s">
        <v>340</v>
      </c>
      <c r="G62" s="168" t="s">
        <v>340</v>
      </c>
      <c r="H62" s="168" t="s">
        <v>340</v>
      </c>
      <c r="I62" s="168" t="s">
        <v>340</v>
      </c>
      <c r="J62" s="168" t="s">
        <v>340</v>
      </c>
      <c r="K62" s="168" t="s">
        <v>340</v>
      </c>
      <c r="L62" s="168" t="s">
        <v>340</v>
      </c>
      <c r="M62" s="168" t="s">
        <v>340</v>
      </c>
      <c r="N62" s="168" t="s">
        <v>340</v>
      </c>
      <c r="O62" s="168" t="s">
        <v>340</v>
      </c>
      <c r="P62" s="168" t="s">
        <v>340</v>
      </c>
      <c r="Q62" s="168" t="s">
        <v>340</v>
      </c>
      <c r="R62" s="168" t="s">
        <v>340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G62" s="98">
        <v>-15.496308779999993</v>
      </c>
      <c r="AH62" s="98">
        <v>-15.104891429999995</v>
      </c>
      <c r="AI62" s="98">
        <v>-16.156191119999999</v>
      </c>
      <c r="AJ62" s="98">
        <v>-16.273412399999994</v>
      </c>
      <c r="AL62" s="98" t="s">
        <v>365</v>
      </c>
      <c r="AM62" s="98">
        <f t="shared" si="22"/>
        <v>-42.62670184000001</v>
      </c>
      <c r="AN62" s="98">
        <f t="shared" si="23"/>
        <v>-50.043853079999998</v>
      </c>
      <c r="AO62" s="98">
        <f t="shared" si="24"/>
        <v>-57.770366730000006</v>
      </c>
      <c r="AP62" s="98">
        <f t="shared" si="25"/>
        <v>-62.573538509999992</v>
      </c>
    </row>
    <row r="63" spans="2:43">
      <c r="B63" s="241" t="s">
        <v>18</v>
      </c>
      <c r="C63" s="242" t="s">
        <v>340</v>
      </c>
      <c r="D63" s="242" t="s">
        <v>340</v>
      </c>
      <c r="E63" s="242" t="s">
        <v>340</v>
      </c>
      <c r="F63" s="242" t="s">
        <v>340</v>
      </c>
      <c r="G63" s="242" t="s">
        <v>340</v>
      </c>
      <c r="H63" s="242" t="s">
        <v>340</v>
      </c>
      <c r="I63" s="242" t="s">
        <v>340</v>
      </c>
      <c r="J63" s="242" t="s">
        <v>340</v>
      </c>
      <c r="K63" s="242" t="s">
        <v>340</v>
      </c>
      <c r="L63" s="242" t="s">
        <v>340</v>
      </c>
      <c r="M63" s="242" t="s">
        <v>340</v>
      </c>
      <c r="N63" s="242" t="s">
        <v>340</v>
      </c>
      <c r="O63" s="242" t="s">
        <v>340</v>
      </c>
      <c r="P63" s="242" t="s">
        <v>340</v>
      </c>
      <c r="Q63" s="242" t="s">
        <v>340</v>
      </c>
      <c r="R63" s="242" t="s">
        <v>340</v>
      </c>
      <c r="S63" s="243">
        <v>268.58288869</v>
      </c>
      <c r="T63" s="243">
        <v>280.93011966999967</v>
      </c>
      <c r="U63" s="243">
        <v>276.94312090000017</v>
      </c>
      <c r="V63" s="243">
        <v>258.3646719599999</v>
      </c>
      <c r="W63" s="243">
        <v>322.66712125000004</v>
      </c>
      <c r="X63" s="243">
        <v>311.65470146999991</v>
      </c>
      <c r="Y63" s="243">
        <v>314.7807490000003</v>
      </c>
      <c r="Z63" s="243">
        <v>303.93866597000005</v>
      </c>
      <c r="AA63" s="243">
        <v>352.11280023000006</v>
      </c>
      <c r="AB63" s="243">
        <v>365.05352239000018</v>
      </c>
      <c r="AC63" s="243">
        <v>341.4794502299996</v>
      </c>
      <c r="AD63" s="243">
        <v>337.49051246000022</v>
      </c>
      <c r="AE63" s="243">
        <v>386.70906762000016</v>
      </c>
      <c r="AF63" s="243">
        <v>377.60383042999968</v>
      </c>
      <c r="AG63" s="243">
        <v>378.01453065999999</v>
      </c>
      <c r="AH63" s="243">
        <v>390.03611994000084</v>
      </c>
      <c r="AI63" s="243">
        <v>410.16826624999999</v>
      </c>
      <c r="AJ63" s="243">
        <v>414.44954283000004</v>
      </c>
      <c r="AL63" s="243" t="s">
        <v>365</v>
      </c>
      <c r="AM63" s="243">
        <f t="shared" si="22"/>
        <v>1084.8208012199998</v>
      </c>
      <c r="AN63" s="243">
        <f t="shared" si="23"/>
        <v>1253.0412376900003</v>
      </c>
      <c r="AO63" s="243">
        <f t="shared" si="24"/>
        <v>1396.1362853100002</v>
      </c>
      <c r="AP63" s="243">
        <f t="shared" si="25"/>
        <v>1532.3635486500007</v>
      </c>
      <c r="AQ63" s="349"/>
    </row>
    <row r="64" spans="2:43">
      <c r="B64" s="244" t="s">
        <v>19</v>
      </c>
      <c r="C64" s="242" t="s">
        <v>340</v>
      </c>
      <c r="D64" s="242" t="s">
        <v>340</v>
      </c>
      <c r="E64" s="242" t="s">
        <v>340</v>
      </c>
      <c r="F64" s="242" t="s">
        <v>340</v>
      </c>
      <c r="G64" s="242" t="s">
        <v>340</v>
      </c>
      <c r="H64" s="242" t="s">
        <v>340</v>
      </c>
      <c r="I64" s="242" t="s">
        <v>340</v>
      </c>
      <c r="J64" s="242" t="s">
        <v>340</v>
      </c>
      <c r="K64" s="242" t="s">
        <v>340</v>
      </c>
      <c r="L64" s="242" t="s">
        <v>340</v>
      </c>
      <c r="M64" s="242" t="s">
        <v>340</v>
      </c>
      <c r="N64" s="242" t="s">
        <v>340</v>
      </c>
      <c r="O64" s="242" t="s">
        <v>340</v>
      </c>
      <c r="P64" s="242" t="s">
        <v>340</v>
      </c>
      <c r="Q64" s="242" t="s">
        <v>340</v>
      </c>
      <c r="R64" s="242" t="s">
        <v>340</v>
      </c>
      <c r="S64" s="245">
        <v>-51.696441539999995</v>
      </c>
      <c r="T64" s="245">
        <v>-79.094032680000026</v>
      </c>
      <c r="U64" s="245">
        <v>-70.976488609999976</v>
      </c>
      <c r="V64" s="245">
        <v>-88.264420389999998</v>
      </c>
      <c r="W64" s="245">
        <v>-69.624628720000018</v>
      </c>
      <c r="X64" s="245">
        <v>-98.216949879999902</v>
      </c>
      <c r="Y64" s="245">
        <v>-92.872289920000043</v>
      </c>
      <c r="Z64" s="245">
        <v>-102.56190845</v>
      </c>
      <c r="AA64" s="245">
        <v>-86.659047839999999</v>
      </c>
      <c r="AB64" s="245">
        <v>-123.93648087</v>
      </c>
      <c r="AC64" s="245">
        <v>-109.37211421000006</v>
      </c>
      <c r="AD64" s="245">
        <v>-111.18525587999994</v>
      </c>
      <c r="AE64" s="245">
        <v>-97.82438569</v>
      </c>
      <c r="AF64" s="245">
        <v>-121.29758887999996</v>
      </c>
      <c r="AG64" s="245">
        <v>-112.75377912999994</v>
      </c>
      <c r="AH64" s="245">
        <v>-117.83522196000007</v>
      </c>
      <c r="AI64" s="245">
        <v>-108.32238263999999</v>
      </c>
      <c r="AJ64" s="245">
        <v>-119.30664186999998</v>
      </c>
      <c r="AL64" s="245" t="s">
        <v>365</v>
      </c>
      <c r="AM64" s="245">
        <f t="shared" si="22"/>
        <v>-290.03138322000001</v>
      </c>
      <c r="AN64" s="245">
        <f t="shared" si="23"/>
        <v>-363.27577697000004</v>
      </c>
      <c r="AO64" s="245">
        <f t="shared" si="24"/>
        <v>-431.1528988</v>
      </c>
      <c r="AP64" s="245">
        <f t="shared" si="25"/>
        <v>-449.71097565999997</v>
      </c>
    </row>
    <row r="65" spans="2:42">
      <c r="B65" s="103" t="s">
        <v>218</v>
      </c>
      <c r="C65" s="169" t="s">
        <v>340</v>
      </c>
      <c r="D65" s="169" t="s">
        <v>340</v>
      </c>
      <c r="E65" s="169" t="s">
        <v>340</v>
      </c>
      <c r="F65" s="169" t="s">
        <v>340</v>
      </c>
      <c r="G65" s="169" t="s">
        <v>340</v>
      </c>
      <c r="H65" s="169" t="s">
        <v>340</v>
      </c>
      <c r="I65" s="169" t="s">
        <v>340</v>
      </c>
      <c r="J65" s="169" t="s">
        <v>340</v>
      </c>
      <c r="K65" s="169" t="s">
        <v>340</v>
      </c>
      <c r="L65" s="169" t="s">
        <v>340</v>
      </c>
      <c r="M65" s="169" t="s">
        <v>340</v>
      </c>
      <c r="N65" s="169" t="s">
        <v>340</v>
      </c>
      <c r="O65" s="169" t="s">
        <v>340</v>
      </c>
      <c r="P65" s="169" t="s">
        <v>340</v>
      </c>
      <c r="Q65" s="169" t="s">
        <v>340</v>
      </c>
      <c r="R65" s="169" t="s">
        <v>340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G65" s="104">
        <v>-49.94198279999992</v>
      </c>
      <c r="AH65" s="104">
        <v>-47.727296350000131</v>
      </c>
      <c r="AI65" s="104">
        <v>-45.426181199999995</v>
      </c>
      <c r="AJ65" s="104">
        <v>-55.798977759999993</v>
      </c>
      <c r="AL65" s="104" t="s">
        <v>365</v>
      </c>
      <c r="AM65" s="104">
        <f t="shared" si="22"/>
        <v>-200.03714482000001</v>
      </c>
      <c r="AN65" s="104">
        <f t="shared" si="23"/>
        <v>-240.39815554999996</v>
      </c>
      <c r="AO65" s="104">
        <f t="shared" si="24"/>
        <v>-242.56233354000008</v>
      </c>
      <c r="AP65" s="104">
        <f t="shared" si="25"/>
        <v>-202.94928394000004</v>
      </c>
    </row>
    <row r="66" spans="2:42">
      <c r="B66" s="105" t="s">
        <v>219</v>
      </c>
      <c r="C66" s="168" t="s">
        <v>340</v>
      </c>
      <c r="D66" s="168" t="s">
        <v>340</v>
      </c>
      <c r="E66" s="168" t="s">
        <v>340</v>
      </c>
      <c r="F66" s="168" t="s">
        <v>340</v>
      </c>
      <c r="G66" s="168" t="s">
        <v>340</v>
      </c>
      <c r="H66" s="168" t="s">
        <v>340</v>
      </c>
      <c r="I66" s="168" t="s">
        <v>340</v>
      </c>
      <c r="J66" s="168" t="s">
        <v>340</v>
      </c>
      <c r="K66" s="168" t="s">
        <v>340</v>
      </c>
      <c r="L66" s="168" t="s">
        <v>340</v>
      </c>
      <c r="M66" s="168" t="s">
        <v>340</v>
      </c>
      <c r="N66" s="168" t="s">
        <v>340</v>
      </c>
      <c r="O66" s="168" t="s">
        <v>340</v>
      </c>
      <c r="P66" s="168" t="s">
        <v>340</v>
      </c>
      <c r="Q66" s="168" t="s">
        <v>340</v>
      </c>
      <c r="R66" s="168" t="s">
        <v>340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G66" s="106">
        <v>-18.116675839999989</v>
      </c>
      <c r="AH66" s="106">
        <v>-18.323639610000001</v>
      </c>
      <c r="AI66" s="106">
        <v>-15.146963690000002</v>
      </c>
      <c r="AJ66" s="106">
        <v>-16.205350919999994</v>
      </c>
      <c r="AL66" s="106" t="s">
        <v>365</v>
      </c>
      <c r="AM66" s="106">
        <f t="shared" si="22"/>
        <v>-24.665448479999998</v>
      </c>
      <c r="AN66" s="106">
        <f t="shared" si="23"/>
        <v>-38.39539388</v>
      </c>
      <c r="AO66" s="106">
        <f t="shared" si="24"/>
        <v>-51.915428519999992</v>
      </c>
      <c r="AP66" s="106">
        <f t="shared" si="25"/>
        <v>-67.968598109999988</v>
      </c>
    </row>
    <row r="67" spans="2:42">
      <c r="B67" s="105" t="s">
        <v>220</v>
      </c>
      <c r="C67" s="168" t="s">
        <v>340</v>
      </c>
      <c r="D67" s="168" t="s">
        <v>340</v>
      </c>
      <c r="E67" s="168" t="s">
        <v>340</v>
      </c>
      <c r="F67" s="168" t="s">
        <v>340</v>
      </c>
      <c r="G67" s="168" t="s">
        <v>340</v>
      </c>
      <c r="H67" s="168" t="s">
        <v>340</v>
      </c>
      <c r="I67" s="168" t="s">
        <v>340</v>
      </c>
      <c r="J67" s="168" t="s">
        <v>340</v>
      </c>
      <c r="K67" s="168" t="s">
        <v>340</v>
      </c>
      <c r="L67" s="168" t="s">
        <v>340</v>
      </c>
      <c r="M67" s="168" t="s">
        <v>340</v>
      </c>
      <c r="N67" s="168" t="s">
        <v>340</v>
      </c>
      <c r="O67" s="168" t="s">
        <v>340</v>
      </c>
      <c r="P67" s="168" t="s">
        <v>340</v>
      </c>
      <c r="Q67" s="168" t="s">
        <v>340</v>
      </c>
      <c r="R67" s="168" t="s">
        <v>340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G67" s="106">
        <v>-3.2436473299999982</v>
      </c>
      <c r="AH67" s="106">
        <v>-3.7560933400000067</v>
      </c>
      <c r="AI67" s="106">
        <v>-3.7743678700000007</v>
      </c>
      <c r="AJ67" s="106">
        <v>-3.9956287899999996</v>
      </c>
      <c r="AL67" s="106" t="s">
        <v>365</v>
      </c>
      <c r="AM67" s="106">
        <f t="shared" si="22"/>
        <v>-14.82401585</v>
      </c>
      <c r="AN67" s="106">
        <f t="shared" si="23"/>
        <v>-13.315973420000002</v>
      </c>
      <c r="AO67" s="106">
        <f t="shared" si="24"/>
        <v>-14.355014600000001</v>
      </c>
      <c r="AP67" s="106">
        <f t="shared" si="25"/>
        <v>-14.775160250000006</v>
      </c>
    </row>
    <row r="68" spans="2:42">
      <c r="B68" s="105" t="s">
        <v>221</v>
      </c>
      <c r="C68" s="168" t="s">
        <v>340</v>
      </c>
      <c r="D68" s="168" t="s">
        <v>340</v>
      </c>
      <c r="E68" s="168" t="s">
        <v>340</v>
      </c>
      <c r="F68" s="168" t="s">
        <v>340</v>
      </c>
      <c r="G68" s="168" t="s">
        <v>340</v>
      </c>
      <c r="H68" s="168" t="s">
        <v>340</v>
      </c>
      <c r="I68" s="168" t="s">
        <v>340</v>
      </c>
      <c r="J68" s="168" t="s">
        <v>340</v>
      </c>
      <c r="K68" s="168" t="s">
        <v>340</v>
      </c>
      <c r="L68" s="168" t="s">
        <v>340</v>
      </c>
      <c r="M68" s="168" t="s">
        <v>340</v>
      </c>
      <c r="N68" s="168" t="s">
        <v>340</v>
      </c>
      <c r="O68" s="168" t="s">
        <v>340</v>
      </c>
      <c r="P68" s="168" t="s">
        <v>340</v>
      </c>
      <c r="Q68" s="168" t="s">
        <v>340</v>
      </c>
      <c r="R68" s="168" t="s">
        <v>340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G68" s="106">
        <v>-41.45147316000002</v>
      </c>
      <c r="AH68" s="106">
        <v>-48.028192659999974</v>
      </c>
      <c r="AI68" s="106">
        <v>-43.974869879999986</v>
      </c>
      <c r="AJ68" s="106">
        <v>-43.30668439999998</v>
      </c>
      <c r="AL68" s="106" t="s">
        <v>365</v>
      </c>
      <c r="AM68" s="106">
        <f t="shared" si="22"/>
        <v>-50.504774069999989</v>
      </c>
      <c r="AN68" s="106">
        <f t="shared" si="23"/>
        <v>-71.166254119999991</v>
      </c>
      <c r="AO68" s="106">
        <f t="shared" si="24"/>
        <v>-122.32012213999994</v>
      </c>
      <c r="AP68" s="106">
        <f t="shared" si="25"/>
        <v>-164.01793335999997</v>
      </c>
    </row>
    <row r="69" spans="2:42">
      <c r="B69" s="246" t="s">
        <v>222</v>
      </c>
      <c r="C69" s="247" t="s">
        <v>340</v>
      </c>
      <c r="D69" s="247" t="s">
        <v>340</v>
      </c>
      <c r="E69" s="247" t="s">
        <v>340</v>
      </c>
      <c r="F69" s="247" t="s">
        <v>340</v>
      </c>
      <c r="G69" s="247" t="s">
        <v>340</v>
      </c>
      <c r="H69" s="247" t="s">
        <v>340</v>
      </c>
      <c r="I69" s="247" t="s">
        <v>340</v>
      </c>
      <c r="J69" s="247" t="s">
        <v>340</v>
      </c>
      <c r="K69" s="247" t="s">
        <v>340</v>
      </c>
      <c r="L69" s="247" t="s">
        <v>340</v>
      </c>
      <c r="M69" s="247" t="s">
        <v>340</v>
      </c>
      <c r="N69" s="247" t="s">
        <v>340</v>
      </c>
      <c r="O69" s="247" t="s">
        <v>340</v>
      </c>
      <c r="P69" s="247" t="s">
        <v>340</v>
      </c>
      <c r="Q69" s="247" t="s">
        <v>340</v>
      </c>
      <c r="R69" s="247" t="s">
        <v>340</v>
      </c>
      <c r="S69" s="248">
        <v>216.88644715000001</v>
      </c>
      <c r="T69" s="248">
        <v>201.83608698999964</v>
      </c>
      <c r="U69" s="248">
        <v>205.96663229000018</v>
      </c>
      <c r="V69" s="248">
        <v>170.1002515699999</v>
      </c>
      <c r="W69" s="248">
        <v>253.04249253</v>
      </c>
      <c r="X69" s="248">
        <v>213.43775159</v>
      </c>
      <c r="Y69" s="248">
        <v>221.90845908000026</v>
      </c>
      <c r="Z69" s="248">
        <v>201.37675752000004</v>
      </c>
      <c r="AA69" s="248">
        <v>265.45375239000009</v>
      </c>
      <c r="AB69" s="248">
        <v>241.11704152000019</v>
      </c>
      <c r="AC69" s="248">
        <v>232.10733601999954</v>
      </c>
      <c r="AD69" s="248">
        <v>226.30525658000028</v>
      </c>
      <c r="AE69" s="248">
        <v>288.88468193000017</v>
      </c>
      <c r="AF69" s="248">
        <v>256.30624154999964</v>
      </c>
      <c r="AG69" s="248">
        <v>265.26075153000011</v>
      </c>
      <c r="AH69" s="248">
        <v>272.20089798000072</v>
      </c>
      <c r="AI69" s="248">
        <v>301.84588360999999</v>
      </c>
      <c r="AJ69" s="248">
        <v>295.14290096000002</v>
      </c>
      <c r="AL69" s="248" t="s">
        <v>365</v>
      </c>
      <c r="AM69" s="248">
        <f t="shared" si="22"/>
        <v>794.78941799999984</v>
      </c>
      <c r="AN69" s="248">
        <f t="shared" si="23"/>
        <v>889.76546072000031</v>
      </c>
      <c r="AO69" s="248">
        <f t="shared" si="24"/>
        <v>964.98338651000017</v>
      </c>
      <c r="AP69" s="248">
        <f t="shared" si="25"/>
        <v>1082.6525729900006</v>
      </c>
    </row>
    <row r="70" spans="2:42">
      <c r="B70" s="249" t="s">
        <v>26</v>
      </c>
      <c r="C70" s="250" t="s">
        <v>340</v>
      </c>
      <c r="D70" s="250" t="s">
        <v>340</v>
      </c>
      <c r="E70" s="250" t="s">
        <v>340</v>
      </c>
      <c r="F70" s="250" t="s">
        <v>340</v>
      </c>
      <c r="G70" s="250" t="s">
        <v>340</v>
      </c>
      <c r="H70" s="250" t="s">
        <v>340</v>
      </c>
      <c r="I70" s="250" t="s">
        <v>340</v>
      </c>
      <c r="J70" s="250" t="s">
        <v>340</v>
      </c>
      <c r="K70" s="250" t="s">
        <v>340</v>
      </c>
      <c r="L70" s="250" t="s">
        <v>340</v>
      </c>
      <c r="M70" s="250" t="s">
        <v>340</v>
      </c>
      <c r="N70" s="250" t="s">
        <v>340</v>
      </c>
      <c r="O70" s="250" t="s">
        <v>340</v>
      </c>
      <c r="P70" s="250" t="s">
        <v>340</v>
      </c>
      <c r="Q70" s="250" t="s">
        <v>340</v>
      </c>
      <c r="R70" s="250" t="s">
        <v>340</v>
      </c>
      <c r="S70" s="251">
        <v>-8.5553429100000002</v>
      </c>
      <c r="T70" s="251">
        <v>-10.837849870000001</v>
      </c>
      <c r="U70" s="251">
        <v>-1.4206899800000015</v>
      </c>
      <c r="V70" s="251">
        <v>-10.738641739999998</v>
      </c>
      <c r="W70" s="251">
        <v>-10.238515159999999</v>
      </c>
      <c r="X70" s="251">
        <v>-11.030815060000002</v>
      </c>
      <c r="Y70" s="251">
        <v>-16.474718760000002</v>
      </c>
      <c r="Z70" s="251">
        <v>-13.512288099999996</v>
      </c>
      <c r="AA70" s="251">
        <v>-19.704197860000001</v>
      </c>
      <c r="AB70" s="251">
        <v>-10.787649679999998</v>
      </c>
      <c r="AC70" s="251">
        <v>-11.512497780000004</v>
      </c>
      <c r="AD70" s="251">
        <v>-10.348099920000024</v>
      </c>
      <c r="AE70" s="251">
        <v>-20.290048839999997</v>
      </c>
      <c r="AF70" s="251">
        <v>-16.813101860000003</v>
      </c>
      <c r="AG70" s="251">
        <v>-13.9527219</v>
      </c>
      <c r="AH70" s="251">
        <v>-17.510808490000002</v>
      </c>
      <c r="AI70" s="251">
        <v>-26.763637549999999</v>
      </c>
      <c r="AJ70" s="251">
        <v>-14.685812049999996</v>
      </c>
      <c r="AL70" s="251" t="s">
        <v>365</v>
      </c>
      <c r="AM70" s="251">
        <f t="shared" si="22"/>
        <v>-31.552524500000001</v>
      </c>
      <c r="AN70" s="251">
        <f t="shared" si="23"/>
        <v>-51.256337079999994</v>
      </c>
      <c r="AO70" s="251">
        <f t="shared" si="24"/>
        <v>-52.352445240000023</v>
      </c>
      <c r="AP70" s="251">
        <f t="shared" si="25"/>
        <v>-68.566681090000003</v>
      </c>
    </row>
    <row r="71" spans="2:42">
      <c r="B71" s="109" t="s">
        <v>223</v>
      </c>
      <c r="C71" s="170" t="s">
        <v>340</v>
      </c>
      <c r="D71" s="170" t="s">
        <v>340</v>
      </c>
      <c r="E71" s="170" t="s">
        <v>340</v>
      </c>
      <c r="F71" s="170" t="s">
        <v>340</v>
      </c>
      <c r="G71" s="170" t="s">
        <v>340</v>
      </c>
      <c r="H71" s="170" t="s">
        <v>340</v>
      </c>
      <c r="I71" s="170" t="s">
        <v>340</v>
      </c>
      <c r="J71" s="170" t="s">
        <v>340</v>
      </c>
      <c r="K71" s="170" t="s">
        <v>340</v>
      </c>
      <c r="L71" s="170" t="s">
        <v>340</v>
      </c>
      <c r="M71" s="170" t="s">
        <v>340</v>
      </c>
      <c r="N71" s="170" t="s">
        <v>340</v>
      </c>
      <c r="O71" s="170" t="s">
        <v>340</v>
      </c>
      <c r="P71" s="170" t="s">
        <v>340</v>
      </c>
      <c r="Q71" s="170" t="s">
        <v>340</v>
      </c>
      <c r="R71" s="170" t="s">
        <v>340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G71" s="98">
        <v>-2.1584086400000011</v>
      </c>
      <c r="AH71" s="98">
        <v>-6.9139458900000008</v>
      </c>
      <c r="AI71" s="98">
        <v>-11.692468759999999</v>
      </c>
      <c r="AJ71" s="98">
        <v>-5.8703794200000008</v>
      </c>
      <c r="AL71" s="98" t="s">
        <v>365</v>
      </c>
      <c r="AM71" s="98">
        <f t="shared" ref="AM71:AM83" si="26">SUM(S71:V71)</f>
        <v>-17.779971990000004</v>
      </c>
      <c r="AN71" s="98">
        <f t="shared" ref="AN71:AN83" si="27">SUM(W71:Z71)</f>
        <v>-22.557090559999999</v>
      </c>
      <c r="AO71" s="98">
        <f t="shared" si="24"/>
        <v>-19.688659960000013</v>
      </c>
      <c r="AP71" s="98">
        <f t="shared" si="25"/>
        <v>-25.578169280000001</v>
      </c>
    </row>
    <row r="72" spans="2:42">
      <c r="B72" s="109" t="s">
        <v>224</v>
      </c>
      <c r="C72" s="170" t="s">
        <v>340</v>
      </c>
      <c r="D72" s="170" t="s">
        <v>340</v>
      </c>
      <c r="E72" s="170" t="s">
        <v>340</v>
      </c>
      <c r="F72" s="170" t="s">
        <v>340</v>
      </c>
      <c r="G72" s="170" t="s">
        <v>340</v>
      </c>
      <c r="H72" s="170" t="s">
        <v>340</v>
      </c>
      <c r="I72" s="170" t="s">
        <v>340</v>
      </c>
      <c r="J72" s="170" t="s">
        <v>340</v>
      </c>
      <c r="K72" s="170" t="s">
        <v>340</v>
      </c>
      <c r="L72" s="170" t="s">
        <v>340</v>
      </c>
      <c r="M72" s="170" t="s">
        <v>340</v>
      </c>
      <c r="N72" s="170" t="s">
        <v>340</v>
      </c>
      <c r="O72" s="170" t="s">
        <v>340</v>
      </c>
      <c r="P72" s="170" t="s">
        <v>340</v>
      </c>
      <c r="Q72" s="170" t="s">
        <v>340</v>
      </c>
      <c r="R72" s="170" t="s">
        <v>340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G72" s="98">
        <v>-11.794313259999996</v>
      </c>
      <c r="AH72" s="98">
        <v>-10.596862600000001</v>
      </c>
      <c r="AI72" s="98">
        <v>-15.071168789999998</v>
      </c>
      <c r="AJ72" s="98">
        <v>-8.8154326300000001</v>
      </c>
      <c r="AL72" s="98" t="s">
        <v>365</v>
      </c>
      <c r="AM72" s="98">
        <f t="shared" si="26"/>
        <v>-13.772552509999999</v>
      </c>
      <c r="AN72" s="98">
        <f t="shared" si="27"/>
        <v>-28.699246519999999</v>
      </c>
      <c r="AO72" s="98">
        <f t="shared" si="24"/>
        <v>-32.663785280000013</v>
      </c>
      <c r="AP72" s="98">
        <f t="shared" si="25"/>
        <v>-42.988511809999999</v>
      </c>
    </row>
    <row r="73" spans="2:42">
      <c r="B73" s="244" t="s">
        <v>29</v>
      </c>
      <c r="C73" s="242" t="s">
        <v>340</v>
      </c>
      <c r="D73" s="242" t="s">
        <v>340</v>
      </c>
      <c r="E73" s="242" t="s">
        <v>340</v>
      </c>
      <c r="F73" s="242" t="s">
        <v>340</v>
      </c>
      <c r="G73" s="242" t="s">
        <v>340</v>
      </c>
      <c r="H73" s="242" t="s">
        <v>340</v>
      </c>
      <c r="I73" s="242" t="s">
        <v>340</v>
      </c>
      <c r="J73" s="242" t="s">
        <v>340</v>
      </c>
      <c r="K73" s="242" t="s">
        <v>340</v>
      </c>
      <c r="L73" s="242" t="s">
        <v>340</v>
      </c>
      <c r="M73" s="242" t="s">
        <v>340</v>
      </c>
      <c r="N73" s="242" t="s">
        <v>340</v>
      </c>
      <c r="O73" s="242" t="s">
        <v>340</v>
      </c>
      <c r="P73" s="242" t="s">
        <v>340</v>
      </c>
      <c r="Q73" s="242" t="s">
        <v>340</v>
      </c>
      <c r="R73" s="242" t="s">
        <v>340</v>
      </c>
      <c r="S73" s="245">
        <v>-34.483620270000003</v>
      </c>
      <c r="T73" s="245">
        <v>-33.189252879999998</v>
      </c>
      <c r="U73" s="245">
        <v>-42.126248190000027</v>
      </c>
      <c r="V73" s="245">
        <v>-45.009039359999974</v>
      </c>
      <c r="W73" s="245">
        <v>-39.890817679999998</v>
      </c>
      <c r="X73" s="245">
        <v>-44.481163470000027</v>
      </c>
      <c r="Y73" s="245">
        <v>-44.96522427</v>
      </c>
      <c r="Z73" s="245">
        <v>-52.206066889999967</v>
      </c>
      <c r="AA73" s="245">
        <v>-46.557309059999994</v>
      </c>
      <c r="AB73" s="245">
        <v>-55.342231110000014</v>
      </c>
      <c r="AC73" s="245">
        <v>-34.264146129999972</v>
      </c>
      <c r="AD73" s="245">
        <v>-48.039874960000098</v>
      </c>
      <c r="AE73" s="245">
        <v>-49.363489059999992</v>
      </c>
      <c r="AF73" s="245">
        <v>-52.912935299999987</v>
      </c>
      <c r="AG73" s="245">
        <v>-52.987730500000012</v>
      </c>
      <c r="AH73" s="245">
        <v>-47.482173929999959</v>
      </c>
      <c r="AI73" s="245">
        <v>-54.779835229999996</v>
      </c>
      <c r="AJ73" s="245">
        <v>-57.816436640000013</v>
      </c>
      <c r="AL73" s="245" t="s">
        <v>365</v>
      </c>
      <c r="AM73" s="245">
        <f t="shared" si="26"/>
        <v>-154.8081607</v>
      </c>
      <c r="AN73" s="245">
        <f t="shared" si="27"/>
        <v>-181.54327230999999</v>
      </c>
      <c r="AO73" s="245">
        <f t="shared" si="24"/>
        <v>-184.2035612600001</v>
      </c>
      <c r="AP73" s="245">
        <f t="shared" si="25"/>
        <v>-202.74632878999995</v>
      </c>
    </row>
    <row r="74" spans="2:42">
      <c r="B74" s="109" t="s">
        <v>225</v>
      </c>
      <c r="C74" s="170" t="s">
        <v>340</v>
      </c>
      <c r="D74" s="170" t="s">
        <v>340</v>
      </c>
      <c r="E74" s="170" t="s">
        <v>340</v>
      </c>
      <c r="F74" s="170" t="s">
        <v>340</v>
      </c>
      <c r="G74" s="170" t="s">
        <v>340</v>
      </c>
      <c r="H74" s="170" t="s">
        <v>340</v>
      </c>
      <c r="I74" s="170" t="s">
        <v>340</v>
      </c>
      <c r="J74" s="170" t="s">
        <v>340</v>
      </c>
      <c r="K74" s="170" t="s">
        <v>340</v>
      </c>
      <c r="L74" s="170" t="s">
        <v>340</v>
      </c>
      <c r="M74" s="170" t="s">
        <v>340</v>
      </c>
      <c r="N74" s="170" t="s">
        <v>340</v>
      </c>
      <c r="O74" s="170" t="s">
        <v>340</v>
      </c>
      <c r="P74" s="170" t="s">
        <v>340</v>
      </c>
      <c r="Q74" s="170" t="s">
        <v>340</v>
      </c>
      <c r="R74" s="170" t="s">
        <v>340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G74" s="98">
        <v>-34.053806510000015</v>
      </c>
      <c r="AH74" s="98">
        <v>-27.665909139999982</v>
      </c>
      <c r="AI74" s="98">
        <v>-34.232258489999992</v>
      </c>
      <c r="AJ74" s="98">
        <v>-38.482344450000014</v>
      </c>
      <c r="AL74" s="98" t="s">
        <v>365</v>
      </c>
      <c r="AM74" s="98">
        <f t="shared" si="26"/>
        <v>-86.944694289999987</v>
      </c>
      <c r="AN74" s="98">
        <f t="shared" si="27"/>
        <v>-117.09802497999999</v>
      </c>
      <c r="AO74" s="98">
        <f t="shared" si="24"/>
        <v>-109.70165062000005</v>
      </c>
      <c r="AP74" s="98">
        <f t="shared" si="25"/>
        <v>-128.59365957999998</v>
      </c>
    </row>
    <row r="75" spans="2:42">
      <c r="B75" s="109" t="s">
        <v>226</v>
      </c>
      <c r="C75" s="170" t="s">
        <v>340</v>
      </c>
      <c r="D75" s="170" t="s">
        <v>340</v>
      </c>
      <c r="E75" s="170" t="s">
        <v>340</v>
      </c>
      <c r="F75" s="170" t="s">
        <v>340</v>
      </c>
      <c r="G75" s="170" t="s">
        <v>340</v>
      </c>
      <c r="H75" s="170" t="s">
        <v>340</v>
      </c>
      <c r="I75" s="170" t="s">
        <v>340</v>
      </c>
      <c r="J75" s="170" t="s">
        <v>340</v>
      </c>
      <c r="K75" s="170" t="s">
        <v>340</v>
      </c>
      <c r="L75" s="170" t="s">
        <v>340</v>
      </c>
      <c r="M75" s="170" t="s">
        <v>340</v>
      </c>
      <c r="N75" s="170" t="s">
        <v>340</v>
      </c>
      <c r="O75" s="170" t="s">
        <v>340</v>
      </c>
      <c r="P75" s="170" t="s">
        <v>340</v>
      </c>
      <c r="Q75" s="170" t="s">
        <v>340</v>
      </c>
      <c r="R75" s="170" t="s">
        <v>340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G75" s="98">
        <v>-14.345958950000004</v>
      </c>
      <c r="AH75" s="98">
        <v>-15.585399910000007</v>
      </c>
      <c r="AI75" s="98">
        <v>-15.949981029999996</v>
      </c>
      <c r="AJ75" s="98">
        <v>-15.899229559999998</v>
      </c>
      <c r="AL75" s="98" t="s">
        <v>365</v>
      </c>
      <c r="AM75" s="98">
        <f t="shared" si="26"/>
        <v>-48.968635510000006</v>
      </c>
      <c r="AN75" s="98">
        <f t="shared" si="27"/>
        <v>-43.777604750000002</v>
      </c>
      <c r="AO75" s="98">
        <f t="shared" si="24"/>
        <v>-50.578381210000018</v>
      </c>
      <c r="AP75" s="98">
        <f t="shared" si="25"/>
        <v>-56.757622790000006</v>
      </c>
    </row>
    <row r="76" spans="2:42">
      <c r="B76" s="109" t="s">
        <v>227</v>
      </c>
      <c r="C76" s="170" t="s">
        <v>340</v>
      </c>
      <c r="D76" s="170" t="s">
        <v>340</v>
      </c>
      <c r="E76" s="170" t="s">
        <v>340</v>
      </c>
      <c r="F76" s="170" t="s">
        <v>340</v>
      </c>
      <c r="G76" s="170" t="s">
        <v>340</v>
      </c>
      <c r="H76" s="170" t="s">
        <v>340</v>
      </c>
      <c r="I76" s="170" t="s">
        <v>340</v>
      </c>
      <c r="J76" s="170" t="s">
        <v>340</v>
      </c>
      <c r="K76" s="170" t="s">
        <v>340</v>
      </c>
      <c r="L76" s="170" t="s">
        <v>340</v>
      </c>
      <c r="M76" s="170" t="s">
        <v>340</v>
      </c>
      <c r="N76" s="170" t="s">
        <v>340</v>
      </c>
      <c r="O76" s="170" t="s">
        <v>340</v>
      </c>
      <c r="P76" s="170" t="s">
        <v>340</v>
      </c>
      <c r="Q76" s="170" t="s">
        <v>340</v>
      </c>
      <c r="R76" s="170" t="s">
        <v>340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G76" s="98">
        <v>-0.94346093000000053</v>
      </c>
      <c r="AH76" s="98">
        <v>-0.64401081999999121</v>
      </c>
      <c r="AI76" s="98">
        <v>-0.70337866000000204</v>
      </c>
      <c r="AJ76" s="98">
        <v>-0.52410877999999528</v>
      </c>
      <c r="AL76" s="98" t="s">
        <v>365</v>
      </c>
      <c r="AM76" s="98">
        <f t="shared" si="26"/>
        <v>-2.8126232600000005</v>
      </c>
      <c r="AN76" s="98">
        <f t="shared" si="27"/>
        <v>-0.57499215000000015</v>
      </c>
      <c r="AO76" s="98">
        <f t="shared" si="24"/>
        <v>-0.57471936000000001</v>
      </c>
      <c r="AP76" s="98">
        <f t="shared" si="25"/>
        <v>-2.0630584599999935</v>
      </c>
    </row>
    <row r="77" spans="2:42">
      <c r="B77" s="109" t="s">
        <v>228</v>
      </c>
      <c r="C77" s="170" t="s">
        <v>340</v>
      </c>
      <c r="D77" s="170" t="s">
        <v>340</v>
      </c>
      <c r="E77" s="170" t="s">
        <v>340</v>
      </c>
      <c r="F77" s="170" t="s">
        <v>340</v>
      </c>
      <c r="G77" s="170" t="s">
        <v>340</v>
      </c>
      <c r="H77" s="170" t="s">
        <v>340</v>
      </c>
      <c r="I77" s="170" t="s">
        <v>340</v>
      </c>
      <c r="J77" s="170" t="s">
        <v>340</v>
      </c>
      <c r="K77" s="170" t="s">
        <v>340</v>
      </c>
      <c r="L77" s="170" t="s">
        <v>340</v>
      </c>
      <c r="M77" s="170" t="s">
        <v>340</v>
      </c>
      <c r="N77" s="170" t="s">
        <v>340</v>
      </c>
      <c r="O77" s="170" t="s">
        <v>340</v>
      </c>
      <c r="P77" s="170" t="s">
        <v>340</v>
      </c>
      <c r="Q77" s="170" t="s">
        <v>340</v>
      </c>
      <c r="R77" s="170" t="s">
        <v>340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G77" s="98">
        <v>-3.6445041099999962</v>
      </c>
      <c r="AH77" s="98">
        <v>-3.5868540600000056</v>
      </c>
      <c r="AI77" s="98">
        <v>-3.8942170500000004</v>
      </c>
      <c r="AJ77" s="98">
        <v>-2.9107538499999976</v>
      </c>
      <c r="AL77" s="98" t="s">
        <v>365</v>
      </c>
      <c r="AM77" s="98">
        <f t="shared" si="26"/>
        <v>-16.08220764</v>
      </c>
      <c r="AN77" s="98">
        <f t="shared" si="27"/>
        <v>-20.092650429999992</v>
      </c>
      <c r="AO77" s="98">
        <f t="shared" si="24"/>
        <v>-23.348810070000003</v>
      </c>
      <c r="AP77" s="98">
        <f t="shared" si="25"/>
        <v>-15.331987960000003</v>
      </c>
    </row>
    <row r="78" spans="2:42">
      <c r="B78" s="244" t="s">
        <v>30</v>
      </c>
      <c r="C78" s="242" t="s">
        <v>340</v>
      </c>
      <c r="D78" s="242" t="s">
        <v>340</v>
      </c>
      <c r="E78" s="242" t="s">
        <v>340</v>
      </c>
      <c r="F78" s="242" t="s">
        <v>340</v>
      </c>
      <c r="G78" s="242" t="s">
        <v>340</v>
      </c>
      <c r="H78" s="242" t="s">
        <v>340</v>
      </c>
      <c r="I78" s="242" t="s">
        <v>340</v>
      </c>
      <c r="J78" s="242" t="s">
        <v>340</v>
      </c>
      <c r="K78" s="242" t="s">
        <v>340</v>
      </c>
      <c r="L78" s="242" t="s">
        <v>340</v>
      </c>
      <c r="M78" s="242" t="s">
        <v>340</v>
      </c>
      <c r="N78" s="242" t="s">
        <v>340</v>
      </c>
      <c r="O78" s="242" t="s">
        <v>340</v>
      </c>
      <c r="P78" s="242" t="s">
        <v>340</v>
      </c>
      <c r="Q78" s="242" t="s">
        <v>340</v>
      </c>
      <c r="R78" s="242" t="s">
        <v>340</v>
      </c>
      <c r="S78" s="245">
        <v>-1.6337703900000005</v>
      </c>
      <c r="T78" s="245">
        <v>-4.1762939399999963</v>
      </c>
      <c r="U78" s="245">
        <v>-2.3994779400000033</v>
      </c>
      <c r="V78" s="245">
        <v>-0.32963343999999917</v>
      </c>
      <c r="W78" s="245">
        <v>0.92181014000000006</v>
      </c>
      <c r="X78" s="245">
        <v>-1.7480165500000056</v>
      </c>
      <c r="Y78" s="245">
        <v>-0.78679740999998948</v>
      </c>
      <c r="Z78" s="245">
        <v>-0.51724156999999304</v>
      </c>
      <c r="AA78" s="245">
        <v>-3.9449189400000004</v>
      </c>
      <c r="AB78" s="245">
        <v>3.7325478900000011</v>
      </c>
      <c r="AC78" s="245">
        <v>-9.16568118</v>
      </c>
      <c r="AD78" s="245">
        <v>11.748408700000013</v>
      </c>
      <c r="AE78" s="245">
        <v>0.84726162000000094</v>
      </c>
      <c r="AF78" s="245">
        <v>-11.822848280000002</v>
      </c>
      <c r="AG78" s="245">
        <v>-1.4955558299999971</v>
      </c>
      <c r="AH78" s="245">
        <v>-0.72332128000000395</v>
      </c>
      <c r="AI78" s="245">
        <v>-4.3540946399999987</v>
      </c>
      <c r="AJ78" s="245">
        <v>2.822218389999998</v>
      </c>
      <c r="AL78" s="245" t="s">
        <v>365</v>
      </c>
      <c r="AM78" s="245">
        <f t="shared" si="26"/>
        <v>-8.5391757099999985</v>
      </c>
      <c r="AN78" s="245">
        <f t="shared" si="27"/>
        <v>-2.1302453899999882</v>
      </c>
      <c r="AO78" s="245">
        <f t="shared" si="24"/>
        <v>2.3703564700000133</v>
      </c>
      <c r="AP78" s="245">
        <f t="shared" si="25"/>
        <v>-13.194463770000002</v>
      </c>
    </row>
    <row r="79" spans="2:42">
      <c r="B79" s="109" t="s">
        <v>229</v>
      </c>
      <c r="C79" s="170" t="s">
        <v>340</v>
      </c>
      <c r="D79" s="170" t="s">
        <v>340</v>
      </c>
      <c r="E79" s="170" t="s">
        <v>340</v>
      </c>
      <c r="F79" s="170" t="s">
        <v>340</v>
      </c>
      <c r="G79" s="170" t="s">
        <v>340</v>
      </c>
      <c r="H79" s="170" t="s">
        <v>340</v>
      </c>
      <c r="I79" s="170" t="s">
        <v>340</v>
      </c>
      <c r="J79" s="170" t="s">
        <v>340</v>
      </c>
      <c r="K79" s="170" t="s">
        <v>340</v>
      </c>
      <c r="L79" s="170" t="s">
        <v>340</v>
      </c>
      <c r="M79" s="170" t="s">
        <v>340</v>
      </c>
      <c r="N79" s="170" t="s">
        <v>340</v>
      </c>
      <c r="O79" s="170" t="s">
        <v>340</v>
      </c>
      <c r="P79" s="170" t="s">
        <v>340</v>
      </c>
      <c r="Q79" s="170" t="s">
        <v>340</v>
      </c>
      <c r="R79" s="170" t="s">
        <v>340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G79" s="98">
        <v>-0.10367796999999968</v>
      </c>
      <c r="AH79" s="98">
        <v>-3.3879803899999992</v>
      </c>
      <c r="AI79" s="98">
        <v>-1.9983615699999997</v>
      </c>
      <c r="AJ79" s="98">
        <v>-1.6157495099999997</v>
      </c>
      <c r="AL79" s="98" t="s">
        <v>365</v>
      </c>
      <c r="AM79" s="98">
        <f t="shared" si="26"/>
        <v>-8.842876519999999</v>
      </c>
      <c r="AN79" s="98">
        <f t="shared" si="27"/>
        <v>-2.9193333400000006</v>
      </c>
      <c r="AO79" s="98">
        <f t="shared" si="24"/>
        <v>-0.18003734999999388</v>
      </c>
      <c r="AP79" s="98">
        <f t="shared" si="25"/>
        <v>-4.9059568199999983</v>
      </c>
    </row>
    <row r="80" spans="2:42">
      <c r="B80" s="109" t="s">
        <v>17</v>
      </c>
      <c r="C80" s="170" t="s">
        <v>340</v>
      </c>
      <c r="D80" s="170" t="s">
        <v>340</v>
      </c>
      <c r="E80" s="170" t="s">
        <v>340</v>
      </c>
      <c r="F80" s="170" t="s">
        <v>340</v>
      </c>
      <c r="G80" s="170" t="s">
        <v>340</v>
      </c>
      <c r="H80" s="170" t="s">
        <v>340</v>
      </c>
      <c r="I80" s="170" t="s">
        <v>340</v>
      </c>
      <c r="J80" s="170" t="s">
        <v>340</v>
      </c>
      <c r="K80" s="170" t="s">
        <v>340</v>
      </c>
      <c r="L80" s="170" t="s">
        <v>340</v>
      </c>
      <c r="M80" s="170" t="s">
        <v>340</v>
      </c>
      <c r="N80" s="170" t="s">
        <v>340</v>
      </c>
      <c r="O80" s="170" t="s">
        <v>340</v>
      </c>
      <c r="P80" s="170" t="s">
        <v>340</v>
      </c>
      <c r="Q80" s="170" t="s">
        <v>340</v>
      </c>
      <c r="R80" s="170" t="s">
        <v>340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G80" s="98">
        <v>-0.32325225999999996</v>
      </c>
      <c r="AH80" s="98">
        <v>-0.75123043999999983</v>
      </c>
      <c r="AI80" s="98">
        <v>-1.8494812100000002</v>
      </c>
      <c r="AJ80" s="98">
        <v>-1.06692494</v>
      </c>
      <c r="AL80" s="98" t="s">
        <v>365</v>
      </c>
      <c r="AM80" s="98">
        <f t="shared" si="26"/>
        <v>-1.6313472800000002</v>
      </c>
      <c r="AN80" s="98">
        <f t="shared" si="27"/>
        <v>-1.21920608</v>
      </c>
      <c r="AO80" s="98">
        <f t="shared" si="24"/>
        <v>-4.2736528499999915</v>
      </c>
      <c r="AP80" s="98">
        <f t="shared" si="25"/>
        <v>-1.8429144</v>
      </c>
    </row>
    <row r="81" spans="2:43">
      <c r="B81" s="109" t="s">
        <v>30</v>
      </c>
      <c r="C81" s="170" t="s">
        <v>340</v>
      </c>
      <c r="D81" s="170" t="s">
        <v>340</v>
      </c>
      <c r="E81" s="170" t="s">
        <v>340</v>
      </c>
      <c r="F81" s="170" t="s">
        <v>340</v>
      </c>
      <c r="G81" s="170" t="s">
        <v>340</v>
      </c>
      <c r="H81" s="170" t="s">
        <v>340</v>
      </c>
      <c r="I81" s="170" t="s">
        <v>340</v>
      </c>
      <c r="J81" s="170" t="s">
        <v>340</v>
      </c>
      <c r="K81" s="170" t="s">
        <v>340</v>
      </c>
      <c r="L81" s="170" t="s">
        <v>340</v>
      </c>
      <c r="M81" s="170" t="s">
        <v>340</v>
      </c>
      <c r="N81" s="170" t="s">
        <v>340</v>
      </c>
      <c r="O81" s="170" t="s">
        <v>340</v>
      </c>
      <c r="P81" s="170" t="s">
        <v>340</v>
      </c>
      <c r="Q81" s="170" t="s">
        <v>340</v>
      </c>
      <c r="R81" s="170" t="s">
        <v>340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G81" s="98">
        <v>-1.0686255999999972</v>
      </c>
      <c r="AH81" s="98">
        <v>3.4158895499999948</v>
      </c>
      <c r="AI81" s="98">
        <v>-0.50625185999999911</v>
      </c>
      <c r="AJ81" s="98">
        <v>5.5048928399999975</v>
      </c>
      <c r="AL81" s="98" t="s">
        <v>365</v>
      </c>
      <c r="AM81" s="98">
        <f t="shared" si="26"/>
        <v>1.9350480899999998</v>
      </c>
      <c r="AN81" s="98">
        <f t="shared" si="27"/>
        <v>2.0082940300000125</v>
      </c>
      <c r="AO81" s="98">
        <f t="shared" si="24"/>
        <v>6.8240466700000013</v>
      </c>
      <c r="AP81" s="98">
        <f t="shared" si="25"/>
        <v>-6.4455925500000033</v>
      </c>
    </row>
    <row r="82" spans="2:43">
      <c r="B82" s="244" t="s">
        <v>34</v>
      </c>
      <c r="C82" s="242" t="s">
        <v>340</v>
      </c>
      <c r="D82" s="242" t="s">
        <v>340</v>
      </c>
      <c r="E82" s="242" t="s">
        <v>340</v>
      </c>
      <c r="F82" s="242" t="s">
        <v>340</v>
      </c>
      <c r="G82" s="242" t="s">
        <v>340</v>
      </c>
      <c r="H82" s="242" t="s">
        <v>340</v>
      </c>
      <c r="I82" s="242" t="s">
        <v>340</v>
      </c>
      <c r="J82" s="242" t="s">
        <v>340</v>
      </c>
      <c r="K82" s="242" t="s">
        <v>340</v>
      </c>
      <c r="L82" s="242" t="s">
        <v>340</v>
      </c>
      <c r="M82" s="242" t="s">
        <v>340</v>
      </c>
      <c r="N82" s="242" t="s">
        <v>340</v>
      </c>
      <c r="O82" s="242" t="s">
        <v>340</v>
      </c>
      <c r="P82" s="242" t="s">
        <v>340</v>
      </c>
      <c r="Q82" s="242" t="s">
        <v>340</v>
      </c>
      <c r="R82" s="242" t="s">
        <v>340</v>
      </c>
      <c r="S82" s="245">
        <v>0.85025052999999995</v>
      </c>
      <c r="T82" s="245">
        <v>1.11227147</v>
      </c>
      <c r="U82" s="245">
        <v>1.0687849999999999</v>
      </c>
      <c r="V82" s="245">
        <v>0.61692200000000019</v>
      </c>
      <c r="W82" s="245">
        <v>0.914686</v>
      </c>
      <c r="X82" s="245">
        <v>1.0462349999999998</v>
      </c>
      <c r="Y82" s="245">
        <v>1.6771826996999901</v>
      </c>
      <c r="Z82" s="245">
        <v>1.8471021176000098</v>
      </c>
      <c r="AA82" s="245">
        <v>3.1455959099999999</v>
      </c>
      <c r="AB82" s="245">
        <v>1.9413853999999997</v>
      </c>
      <c r="AC82" s="245">
        <v>4.2554071999999996</v>
      </c>
      <c r="AD82" s="245">
        <v>2.1015395100000003</v>
      </c>
      <c r="AE82" s="245">
        <v>3.9912607200000001</v>
      </c>
      <c r="AF82" s="245">
        <v>2.2952903199999999</v>
      </c>
      <c r="AG82" s="245">
        <v>3.759214169999999</v>
      </c>
      <c r="AH82" s="245">
        <v>1.517661529999998</v>
      </c>
      <c r="AI82" s="245">
        <v>3.1836049800000001</v>
      </c>
      <c r="AJ82" s="245">
        <v>1.5753171900000007</v>
      </c>
      <c r="AL82" s="245" t="s">
        <v>365</v>
      </c>
      <c r="AM82" s="245">
        <f t="shared" si="26"/>
        <v>3.6482290000000002</v>
      </c>
      <c r="AN82" s="245">
        <f t="shared" si="27"/>
        <v>5.4852058172999998</v>
      </c>
      <c r="AO82" s="245">
        <f t="shared" si="24"/>
        <v>11.44392802</v>
      </c>
      <c r="AP82" s="245">
        <f t="shared" si="25"/>
        <v>11.563426739999997</v>
      </c>
    </row>
    <row r="83" spans="2:43" ht="30">
      <c r="B83" s="241" t="s">
        <v>349</v>
      </c>
      <c r="C83" s="242" t="s">
        <v>340</v>
      </c>
      <c r="D83" s="242" t="s">
        <v>340</v>
      </c>
      <c r="E83" s="242" t="s">
        <v>340</v>
      </c>
      <c r="F83" s="242" t="s">
        <v>340</v>
      </c>
      <c r="G83" s="242" t="s">
        <v>340</v>
      </c>
      <c r="H83" s="242" t="s">
        <v>340</v>
      </c>
      <c r="I83" s="242" t="s">
        <v>340</v>
      </c>
      <c r="J83" s="242" t="s">
        <v>340</v>
      </c>
      <c r="K83" s="242" t="s">
        <v>340</v>
      </c>
      <c r="L83" s="242" t="s">
        <v>340</v>
      </c>
      <c r="M83" s="242" t="s">
        <v>340</v>
      </c>
      <c r="N83" s="242" t="s">
        <v>340</v>
      </c>
      <c r="O83" s="242" t="s">
        <v>340</v>
      </c>
      <c r="P83" s="242" t="s">
        <v>340</v>
      </c>
      <c r="Q83" s="242" t="s">
        <v>340</v>
      </c>
      <c r="R83" s="242" t="s">
        <v>340</v>
      </c>
      <c r="S83" s="245">
        <v>173.06396411000003</v>
      </c>
      <c r="T83" s="245">
        <v>154.74496176999963</v>
      </c>
      <c r="U83" s="245">
        <v>161.08900118000017</v>
      </c>
      <c r="V83" s="245">
        <v>114.63985902999994</v>
      </c>
      <c r="W83" s="245">
        <v>204.74965582999999</v>
      </c>
      <c r="X83" s="245">
        <v>157.22399150999996</v>
      </c>
      <c r="Y83" s="245">
        <v>161.35890133970025</v>
      </c>
      <c r="Z83" s="245">
        <v>136.9882630776001</v>
      </c>
      <c r="AA83" s="245">
        <v>198.39292244000009</v>
      </c>
      <c r="AB83" s="245">
        <v>180.66109402000021</v>
      </c>
      <c r="AC83" s="245">
        <v>181.42041812999958</v>
      </c>
      <c r="AD83" s="245">
        <v>181.7672299100002</v>
      </c>
      <c r="AE83" s="245">
        <v>224.06966637000019</v>
      </c>
      <c r="AF83" s="245">
        <v>177.05264642999967</v>
      </c>
      <c r="AG83" s="245">
        <v>200.58395747000003</v>
      </c>
      <c r="AH83" s="245">
        <v>208.00225581000075</v>
      </c>
      <c r="AI83" s="245">
        <v>219.13192117</v>
      </c>
      <c r="AJ83" s="245">
        <v>227.03818785000004</v>
      </c>
      <c r="AL83" s="245" t="s">
        <v>365</v>
      </c>
      <c r="AM83" s="245">
        <f t="shared" si="26"/>
        <v>603.53778608999971</v>
      </c>
      <c r="AN83" s="245">
        <f t="shared" si="27"/>
        <v>660.32081175730036</v>
      </c>
      <c r="AO83" s="245">
        <f t="shared" si="24"/>
        <v>742.24166450000007</v>
      </c>
      <c r="AP83" s="245">
        <f t="shared" si="25"/>
        <v>809.70852608000064</v>
      </c>
    </row>
    <row r="85" spans="2:43" ht="15" customHeight="1"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</row>
    <row r="86" spans="2:43" ht="15" customHeight="1"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M86" s="348"/>
      <c r="AN86" s="348"/>
      <c r="AO86" s="348"/>
      <c r="AP86" s="348"/>
      <c r="AQ86" s="349"/>
    </row>
    <row r="87" spans="2:43" ht="15" customHeight="1"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M87" s="349"/>
      <c r="AN87" s="349"/>
      <c r="AO87" s="349"/>
      <c r="AP87" s="349"/>
    </row>
    <row r="88" spans="2:43" ht="15" customHeight="1"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</row>
    <row r="89" spans="2:43" ht="15" customHeight="1"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</row>
    <row r="90" spans="2:43" ht="15" customHeight="1"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</row>
    <row r="91" spans="2:43" ht="15" customHeight="1"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</row>
    <row r="92" spans="2:43" ht="15" customHeight="1"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</row>
    <row r="93" spans="2:43" ht="15" customHeight="1"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</row>
    <row r="94" spans="2:43" ht="15" customHeight="1"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</row>
    <row r="95" spans="2:43" ht="15" customHeight="1"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</row>
    <row r="96" spans="2:43" ht="15" customHeight="1"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</row>
    <row r="97" spans="19:36" ht="15" customHeight="1"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</row>
    <row r="98" spans="19:36" ht="15" customHeight="1"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</row>
    <row r="99" spans="19:36" ht="15" customHeight="1"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</row>
    <row r="100" spans="19:36" ht="15" customHeight="1"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</row>
    <row r="101" spans="19:36" ht="15" customHeight="1"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</row>
    <row r="102" spans="19:36" ht="15" customHeight="1"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</row>
    <row r="103" spans="19:36" ht="15" customHeight="1"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</row>
    <row r="104" spans="19:36" ht="15" customHeight="1"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</row>
    <row r="105" spans="19:36" ht="15" customHeight="1"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</row>
    <row r="106" spans="19:36" ht="15" customHeight="1"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</row>
    <row r="107" spans="19:36" ht="15" customHeight="1"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</row>
    <row r="108" spans="19:36" ht="15" customHeight="1"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P31"/>
  <sheetViews>
    <sheetView showGridLines="0" zoomScale="85" zoomScaleNormal="85" workbookViewId="0">
      <pane xSplit="2" ySplit="4" topLeftCell="AA5" activePane="bottomRight" state="frozen"/>
      <selection activeCell="B2" sqref="B2"/>
      <selection pane="topRight" activeCell="B2" sqref="B2"/>
      <selection pane="bottomLeft" activeCell="B2" sqref="B2"/>
      <selection pane="bottomRight" activeCell="AJ13" sqref="AJ13:AJ17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42" ht="18.75">
      <c r="B1" s="332" t="s">
        <v>370</v>
      </c>
    </row>
    <row r="2" spans="2:42">
      <c r="B2" s="280" t="s">
        <v>379</v>
      </c>
    </row>
    <row r="3" spans="2:42"/>
    <row r="4" spans="2:42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L4" s="177">
        <v>2021</v>
      </c>
      <c r="AM4" s="177">
        <v>2022</v>
      </c>
      <c r="AN4" s="177">
        <v>2023</v>
      </c>
      <c r="AO4" s="177">
        <v>2024</v>
      </c>
      <c r="AP4" s="177">
        <v>2025</v>
      </c>
    </row>
    <row r="5" spans="2:42">
      <c r="B5" s="202" t="s">
        <v>333</v>
      </c>
      <c r="C5" s="212" t="s">
        <v>340</v>
      </c>
      <c r="D5" s="212" t="s">
        <v>340</v>
      </c>
      <c r="E5" s="212" t="s">
        <v>340</v>
      </c>
      <c r="F5" s="212" t="s">
        <v>340</v>
      </c>
      <c r="G5" s="212" t="s">
        <v>340</v>
      </c>
      <c r="H5" s="212" t="s">
        <v>340</v>
      </c>
      <c r="I5" s="212" t="s">
        <v>340</v>
      </c>
      <c r="J5" s="212" t="s">
        <v>340</v>
      </c>
      <c r="K5" s="212" t="s">
        <v>340</v>
      </c>
      <c r="L5" s="212" t="s">
        <v>340</v>
      </c>
      <c r="M5" s="212" t="s">
        <v>340</v>
      </c>
      <c r="N5" s="212" t="s">
        <v>340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G5" s="210">
        <v>68.541000000000025</v>
      </c>
      <c r="AH5" s="210">
        <v>10.996000000000009</v>
      </c>
      <c r="AI5" s="210">
        <v>138.95099999999999</v>
      </c>
      <c r="AJ5" s="210">
        <v>66.421000000000021</v>
      </c>
      <c r="AL5" s="210">
        <v>-81.328000000000003</v>
      </c>
      <c r="AM5" s="210">
        <v>11.454000000000008</v>
      </c>
      <c r="AN5" s="210">
        <v>-213.172</v>
      </c>
      <c r="AO5" s="210">
        <f>SUM(AA5:AD5)</f>
        <v>204.44399999999999</v>
      </c>
      <c r="AP5" s="210">
        <f>SUM(AE5:AH5)</f>
        <v>256.66500000000002</v>
      </c>
    </row>
    <row r="6" spans="2:42">
      <c r="B6" s="204" t="s">
        <v>229</v>
      </c>
      <c r="C6" s="213" t="s">
        <v>340</v>
      </c>
      <c r="D6" s="213" t="s">
        <v>340</v>
      </c>
      <c r="E6" s="213" t="s">
        <v>340</v>
      </c>
      <c r="F6" s="213" t="s">
        <v>340</v>
      </c>
      <c r="G6" s="213" t="s">
        <v>340</v>
      </c>
      <c r="H6" s="213" t="s">
        <v>340</v>
      </c>
      <c r="I6" s="213" t="s">
        <v>340</v>
      </c>
      <c r="J6" s="213" t="s">
        <v>340</v>
      </c>
      <c r="K6" s="213" t="s">
        <v>340</v>
      </c>
      <c r="L6" s="213" t="s">
        <v>340</v>
      </c>
      <c r="M6" s="213" t="s">
        <v>340</v>
      </c>
      <c r="N6" s="213" t="s">
        <v>340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G6" s="205">
        <v>45.248999999999995</v>
      </c>
      <c r="AH6" s="205">
        <v>68.745999999999995</v>
      </c>
      <c r="AI6" s="205">
        <v>62.561000000000007</v>
      </c>
      <c r="AJ6" s="205">
        <v>68.959000000000003</v>
      </c>
      <c r="AL6" s="205">
        <v>128.34799999999998</v>
      </c>
      <c r="AM6" s="205">
        <v>193.42100000000002</v>
      </c>
      <c r="AN6" s="205">
        <v>243.79099999999997</v>
      </c>
      <c r="AO6" s="205">
        <f t="shared" ref="AO6:AO25" si="0">SUM(AA6:AD6)</f>
        <v>182.74900000000002</v>
      </c>
      <c r="AP6" s="205">
        <f t="shared" ref="AP6:AP25" si="1">SUM(AE6:AH6)</f>
        <v>224.20299999999997</v>
      </c>
    </row>
    <row r="7" spans="2:42">
      <c r="B7" s="204" t="s">
        <v>38</v>
      </c>
      <c r="C7" s="213" t="s">
        <v>340</v>
      </c>
      <c r="D7" s="213" t="s">
        <v>340</v>
      </c>
      <c r="E7" s="213" t="s">
        <v>340</v>
      </c>
      <c r="F7" s="213" t="s">
        <v>340</v>
      </c>
      <c r="G7" s="213" t="s">
        <v>340</v>
      </c>
      <c r="H7" s="213" t="s">
        <v>340</v>
      </c>
      <c r="I7" s="213" t="s">
        <v>340</v>
      </c>
      <c r="J7" s="213" t="s">
        <v>340</v>
      </c>
      <c r="K7" s="213" t="s">
        <v>340</v>
      </c>
      <c r="L7" s="213" t="s">
        <v>340</v>
      </c>
      <c r="M7" s="213" t="s">
        <v>340</v>
      </c>
      <c r="N7" s="213" t="s">
        <v>340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G7" s="206">
        <v>104.16799999999998</v>
      </c>
      <c r="AH7" s="206">
        <v>104.48799999999997</v>
      </c>
      <c r="AI7" s="206">
        <v>102.819</v>
      </c>
      <c r="AJ7" s="206">
        <v>95.379000000000005</v>
      </c>
      <c r="AL7" s="206">
        <v>420.11500000000001</v>
      </c>
      <c r="AM7" s="206">
        <v>561.346</v>
      </c>
      <c r="AN7" s="206">
        <v>557.83200000000011</v>
      </c>
      <c r="AO7" s="206">
        <f t="shared" si="0"/>
        <v>481.036</v>
      </c>
      <c r="AP7" s="206">
        <f t="shared" si="1"/>
        <v>426.23599999999999</v>
      </c>
    </row>
    <row r="8" spans="2:42">
      <c r="B8" s="204" t="s">
        <v>320</v>
      </c>
      <c r="C8" s="213" t="s">
        <v>340</v>
      </c>
      <c r="D8" s="213" t="s">
        <v>340</v>
      </c>
      <c r="E8" s="213" t="s">
        <v>340</v>
      </c>
      <c r="F8" s="213" t="s">
        <v>340</v>
      </c>
      <c r="G8" s="213" t="s">
        <v>340</v>
      </c>
      <c r="H8" s="213" t="s">
        <v>340</v>
      </c>
      <c r="I8" s="213" t="s">
        <v>340</v>
      </c>
      <c r="J8" s="213" t="s">
        <v>340</v>
      </c>
      <c r="K8" s="213" t="s">
        <v>340</v>
      </c>
      <c r="L8" s="213" t="s">
        <v>340</v>
      </c>
      <c r="M8" s="213" t="s">
        <v>340</v>
      </c>
      <c r="N8" s="213" t="s">
        <v>340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G8" s="206">
        <v>218.06099999999995</v>
      </c>
      <c r="AH8" s="206">
        <v>187.42500000000007</v>
      </c>
      <c r="AI8" s="206">
        <v>219.91499999999999</v>
      </c>
      <c r="AJ8" s="206">
        <v>219.51299999999998</v>
      </c>
      <c r="AL8" s="206">
        <v>467.423</v>
      </c>
      <c r="AM8" s="206">
        <v>847.95700000000011</v>
      </c>
      <c r="AN8" s="206">
        <v>774.19800000000009</v>
      </c>
      <c r="AO8" s="206">
        <f t="shared" si="0"/>
        <v>684.60199999999998</v>
      </c>
      <c r="AP8" s="206">
        <f t="shared" si="1"/>
        <v>791.173</v>
      </c>
    </row>
    <row r="9" spans="2:42">
      <c r="B9" s="204" t="s">
        <v>321</v>
      </c>
      <c r="C9" s="213" t="s">
        <v>340</v>
      </c>
      <c r="D9" s="213" t="s">
        <v>340</v>
      </c>
      <c r="E9" s="213" t="s">
        <v>340</v>
      </c>
      <c r="F9" s="213" t="s">
        <v>340</v>
      </c>
      <c r="G9" s="213" t="s">
        <v>340</v>
      </c>
      <c r="H9" s="213" t="s">
        <v>340</v>
      </c>
      <c r="I9" s="213" t="s">
        <v>340</v>
      </c>
      <c r="J9" s="213" t="s">
        <v>340</v>
      </c>
      <c r="K9" s="213" t="s">
        <v>340</v>
      </c>
      <c r="L9" s="213" t="s">
        <v>340</v>
      </c>
      <c r="M9" s="213" t="s">
        <v>340</v>
      </c>
      <c r="N9" s="213" t="s">
        <v>340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G9" s="206">
        <v>18.059000000000001</v>
      </c>
      <c r="AH9" s="206">
        <v>30.652999999999992</v>
      </c>
      <c r="AI9" s="206">
        <v>14.913</v>
      </c>
      <c r="AJ9" s="206">
        <v>19.439000000000004</v>
      </c>
      <c r="AL9" s="206">
        <v>-90.307000000000002</v>
      </c>
      <c r="AM9" s="206">
        <v>-344.05299999999994</v>
      </c>
      <c r="AN9" s="206">
        <v>71.637999999999991</v>
      </c>
      <c r="AO9" s="206">
        <f t="shared" si="0"/>
        <v>22.76</v>
      </c>
      <c r="AP9" s="206">
        <f t="shared" si="1"/>
        <v>83.97999999999999</v>
      </c>
    </row>
    <row r="10" spans="2:42">
      <c r="B10" s="204" t="s">
        <v>322</v>
      </c>
      <c r="C10" s="213" t="s">
        <v>340</v>
      </c>
      <c r="D10" s="213" t="s">
        <v>340</v>
      </c>
      <c r="E10" s="213" t="s">
        <v>340</v>
      </c>
      <c r="F10" s="213" t="s">
        <v>340</v>
      </c>
      <c r="G10" s="213" t="s">
        <v>340</v>
      </c>
      <c r="H10" s="213" t="s">
        <v>340</v>
      </c>
      <c r="I10" s="213" t="s">
        <v>340</v>
      </c>
      <c r="J10" s="213" t="s">
        <v>340</v>
      </c>
      <c r="K10" s="213" t="s">
        <v>340</v>
      </c>
      <c r="L10" s="213" t="s">
        <v>340</v>
      </c>
      <c r="M10" s="213" t="s">
        <v>340</v>
      </c>
      <c r="N10" s="213" t="s">
        <v>340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G10" s="206">
        <v>-71.304999999999993</v>
      </c>
      <c r="AH10" s="206">
        <v>-72.14800000000001</v>
      </c>
      <c r="AI10" s="206">
        <v>-74.709000000000003</v>
      </c>
      <c r="AJ10" s="206">
        <v>-68.903999999999996</v>
      </c>
      <c r="AL10" s="206">
        <v>-199.55799999999999</v>
      </c>
      <c r="AM10" s="206">
        <v>-354.87699999999995</v>
      </c>
      <c r="AN10" s="206">
        <v>-290.67499999999995</v>
      </c>
      <c r="AO10" s="206">
        <f t="shared" si="0"/>
        <v>-275.63599999999997</v>
      </c>
      <c r="AP10" s="206">
        <f t="shared" si="1"/>
        <v>-285.36900000000003</v>
      </c>
    </row>
    <row r="11" spans="2:42">
      <c r="B11" s="204" t="s">
        <v>323</v>
      </c>
      <c r="C11" s="213" t="s">
        <v>340</v>
      </c>
      <c r="D11" s="213" t="s">
        <v>340</v>
      </c>
      <c r="E11" s="213" t="s">
        <v>340</v>
      </c>
      <c r="F11" s="213" t="s">
        <v>340</v>
      </c>
      <c r="G11" s="213" t="s">
        <v>340</v>
      </c>
      <c r="H11" s="213" t="s">
        <v>340</v>
      </c>
      <c r="I11" s="213" t="s">
        <v>340</v>
      </c>
      <c r="J11" s="213" t="s">
        <v>340</v>
      </c>
      <c r="K11" s="213" t="s">
        <v>340</v>
      </c>
      <c r="L11" s="213" t="s">
        <v>340</v>
      </c>
      <c r="M11" s="213" t="s">
        <v>340</v>
      </c>
      <c r="N11" s="213" t="s">
        <v>340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G11" s="206">
        <v>-1.0549999999999997</v>
      </c>
      <c r="AH11" s="206">
        <v>-1.0549999999999997</v>
      </c>
      <c r="AI11" s="206">
        <v>-4.0910000000000002</v>
      </c>
      <c r="AJ11" s="206">
        <v>0</v>
      </c>
      <c r="AL11" s="206">
        <v>0</v>
      </c>
      <c r="AM11" s="206">
        <v>0</v>
      </c>
      <c r="AN11" s="206">
        <v>-31.856000000000005</v>
      </c>
      <c r="AO11" s="206">
        <f t="shared" si="0"/>
        <v>-8.7840000000000007</v>
      </c>
      <c r="AP11" s="206">
        <f t="shared" si="1"/>
        <v>-7.9589999999999996</v>
      </c>
    </row>
    <row r="12" spans="2:42">
      <c r="B12" s="207" t="s">
        <v>324</v>
      </c>
      <c r="C12" s="212" t="s">
        <v>340</v>
      </c>
      <c r="D12" s="212" t="s">
        <v>340</v>
      </c>
      <c r="E12" s="212" t="s">
        <v>340</v>
      </c>
      <c r="F12" s="212" t="s">
        <v>340</v>
      </c>
      <c r="G12" s="212" t="s">
        <v>340</v>
      </c>
      <c r="H12" s="212" t="s">
        <v>340</v>
      </c>
      <c r="I12" s="212" t="s">
        <v>340</v>
      </c>
      <c r="J12" s="212" t="s">
        <v>340</v>
      </c>
      <c r="K12" s="212" t="s">
        <v>340</v>
      </c>
      <c r="L12" s="212" t="s">
        <v>340</v>
      </c>
      <c r="M12" s="212" t="s">
        <v>340</v>
      </c>
      <c r="N12" s="212" t="s">
        <v>340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G12" s="203">
        <v>381.71799999999996</v>
      </c>
      <c r="AH12" s="203">
        <v>329.10499999999996</v>
      </c>
      <c r="AI12" s="203">
        <v>460.35899999999998</v>
      </c>
      <c r="AJ12" s="203">
        <v>400.80700000000002</v>
      </c>
      <c r="AL12" s="203">
        <v>644.69299999999998</v>
      </c>
      <c r="AM12" s="203">
        <v>915.24800000000027</v>
      </c>
      <c r="AN12" s="203">
        <v>1111.7560000000001</v>
      </c>
      <c r="AO12" s="203">
        <f t="shared" si="0"/>
        <v>1291.171</v>
      </c>
      <c r="AP12" s="203">
        <f t="shared" si="1"/>
        <v>1488.9290000000001</v>
      </c>
    </row>
    <row r="13" spans="2:42">
      <c r="B13" s="204" t="s">
        <v>334</v>
      </c>
      <c r="C13" s="213" t="s">
        <v>340</v>
      </c>
      <c r="D13" s="213" t="s">
        <v>340</v>
      </c>
      <c r="E13" s="213" t="s">
        <v>340</v>
      </c>
      <c r="F13" s="213" t="s">
        <v>340</v>
      </c>
      <c r="G13" s="213" t="s">
        <v>340</v>
      </c>
      <c r="H13" s="213" t="s">
        <v>340</v>
      </c>
      <c r="I13" s="213" t="s">
        <v>340</v>
      </c>
      <c r="J13" s="213" t="s">
        <v>340</v>
      </c>
      <c r="K13" s="213" t="s">
        <v>340</v>
      </c>
      <c r="L13" s="213" t="s">
        <v>340</v>
      </c>
      <c r="M13" s="213" t="s">
        <v>340</v>
      </c>
      <c r="N13" s="213" t="s">
        <v>340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G13" s="206">
        <v>90.834000000000032</v>
      </c>
      <c r="AH13" s="206">
        <v>-241.24700000000004</v>
      </c>
      <c r="AI13" s="206">
        <v>-106.97400000000002</v>
      </c>
      <c r="AJ13" s="206">
        <v>-202.17699999999996</v>
      </c>
      <c r="AL13" s="206">
        <v>-197.83300000000003</v>
      </c>
      <c r="AM13" s="206">
        <v>-454.53800000000001</v>
      </c>
      <c r="AN13" s="206">
        <v>-210.32900000000001</v>
      </c>
      <c r="AO13" s="206">
        <f t="shared" si="0"/>
        <v>-331.7169999999997</v>
      </c>
      <c r="AP13" s="206">
        <f t="shared" si="1"/>
        <v>-411.62799999999999</v>
      </c>
    </row>
    <row r="14" spans="2:42">
      <c r="B14" s="204" t="s">
        <v>325</v>
      </c>
      <c r="C14" s="213" t="s">
        <v>340</v>
      </c>
      <c r="D14" s="213" t="s">
        <v>340</v>
      </c>
      <c r="E14" s="213" t="s">
        <v>340</v>
      </c>
      <c r="F14" s="213" t="s">
        <v>340</v>
      </c>
      <c r="G14" s="213" t="s">
        <v>340</v>
      </c>
      <c r="H14" s="213" t="s">
        <v>340</v>
      </c>
      <c r="I14" s="213" t="s">
        <v>340</v>
      </c>
      <c r="J14" s="213" t="s">
        <v>340</v>
      </c>
      <c r="K14" s="213" t="s">
        <v>340</v>
      </c>
      <c r="L14" s="213" t="s">
        <v>340</v>
      </c>
      <c r="M14" s="213" t="s">
        <v>340</v>
      </c>
      <c r="N14" s="213" t="s">
        <v>340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G14" s="206">
        <v>-59.721000000000004</v>
      </c>
      <c r="AH14" s="206">
        <v>-59.229000000000013</v>
      </c>
      <c r="AI14" s="206">
        <v>-54.391000000000005</v>
      </c>
      <c r="AJ14" s="206">
        <v>-48.778999999999996</v>
      </c>
      <c r="AL14" s="206">
        <v>-179.517</v>
      </c>
      <c r="AM14" s="206">
        <v>-210.9</v>
      </c>
      <c r="AN14" s="206">
        <v>-190.45</v>
      </c>
      <c r="AO14" s="206">
        <f t="shared" si="0"/>
        <v>-175.874</v>
      </c>
      <c r="AP14" s="206">
        <f t="shared" si="1"/>
        <v>-217.32500000000002</v>
      </c>
    </row>
    <row r="15" spans="2:42">
      <c r="B15" s="204" t="s">
        <v>327</v>
      </c>
      <c r="C15" s="213" t="s">
        <v>340</v>
      </c>
      <c r="D15" s="213" t="s">
        <v>340</v>
      </c>
      <c r="E15" s="213" t="s">
        <v>340</v>
      </c>
      <c r="F15" s="213" t="s">
        <v>340</v>
      </c>
      <c r="G15" s="213" t="s">
        <v>340</v>
      </c>
      <c r="H15" s="213" t="s">
        <v>340</v>
      </c>
      <c r="I15" s="213" t="s">
        <v>340</v>
      </c>
      <c r="J15" s="213" t="s">
        <v>340</v>
      </c>
      <c r="K15" s="213" t="s">
        <v>340</v>
      </c>
      <c r="L15" s="213" t="s">
        <v>340</v>
      </c>
      <c r="M15" s="213" t="s">
        <v>340</v>
      </c>
      <c r="N15" s="213" t="s">
        <v>340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G15" s="206">
        <v>0</v>
      </c>
      <c r="AH15" s="206">
        <v>0</v>
      </c>
      <c r="AI15" s="206">
        <v>0</v>
      </c>
      <c r="AJ15" s="206">
        <v>0</v>
      </c>
      <c r="AL15" s="206">
        <v>171.38600000000002</v>
      </c>
      <c r="AM15" s="206">
        <v>0</v>
      </c>
      <c r="AN15" s="206">
        <v>0</v>
      </c>
      <c r="AO15" s="206">
        <f t="shared" si="0"/>
        <v>0</v>
      </c>
      <c r="AP15" s="206">
        <f t="shared" si="1"/>
        <v>0</v>
      </c>
    </row>
    <row r="16" spans="2:42">
      <c r="B16" s="208" t="s">
        <v>335</v>
      </c>
      <c r="C16" s="213" t="s">
        <v>340</v>
      </c>
      <c r="D16" s="213" t="s">
        <v>340</v>
      </c>
      <c r="E16" s="213" t="s">
        <v>340</v>
      </c>
      <c r="F16" s="213" t="s">
        <v>340</v>
      </c>
      <c r="G16" s="213" t="s">
        <v>340</v>
      </c>
      <c r="H16" s="213" t="s">
        <v>340</v>
      </c>
      <c r="I16" s="213" t="s">
        <v>340</v>
      </c>
      <c r="J16" s="213" t="s">
        <v>340</v>
      </c>
      <c r="K16" s="213" t="s">
        <v>340</v>
      </c>
      <c r="L16" s="213" t="s">
        <v>340</v>
      </c>
      <c r="M16" s="213" t="s">
        <v>340</v>
      </c>
      <c r="N16" s="213" t="s">
        <v>340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G16" s="209">
        <v>31.113000000000028</v>
      </c>
      <c r="AH16" s="209">
        <v>-300.47600000000006</v>
      </c>
      <c r="AI16" s="209">
        <v>-161.36500000000001</v>
      </c>
      <c r="AJ16" s="209">
        <v>-250.95599999999996</v>
      </c>
      <c r="AL16" s="209">
        <v>-205.964</v>
      </c>
      <c r="AM16" s="209">
        <v>-665.43799999999999</v>
      </c>
      <c r="AN16" s="209">
        <v>-400.779</v>
      </c>
      <c r="AO16" s="209">
        <f t="shared" si="0"/>
        <v>-507.59099999999967</v>
      </c>
      <c r="AP16" s="209">
        <f t="shared" si="1"/>
        <v>-628.95299999999997</v>
      </c>
    </row>
    <row r="17" spans="2:42">
      <c r="B17" s="207" t="s">
        <v>336</v>
      </c>
      <c r="C17" s="212" t="s">
        <v>340</v>
      </c>
      <c r="D17" s="212" t="s">
        <v>340</v>
      </c>
      <c r="E17" s="212" t="s">
        <v>340</v>
      </c>
      <c r="F17" s="212" t="s">
        <v>340</v>
      </c>
      <c r="G17" s="212" t="s">
        <v>340</v>
      </c>
      <c r="H17" s="212" t="s">
        <v>340</v>
      </c>
      <c r="I17" s="212" t="s">
        <v>340</v>
      </c>
      <c r="J17" s="212" t="s">
        <v>340</v>
      </c>
      <c r="K17" s="212" t="s">
        <v>340</v>
      </c>
      <c r="L17" s="212" t="s">
        <v>340</v>
      </c>
      <c r="M17" s="212" t="s">
        <v>340</v>
      </c>
      <c r="N17" s="212" t="s">
        <v>340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G17" s="203">
        <v>412.83100000000002</v>
      </c>
      <c r="AH17" s="203">
        <v>28.628999999999905</v>
      </c>
      <c r="AI17" s="203">
        <v>298.99399999999997</v>
      </c>
      <c r="AJ17" s="203">
        <v>149.85100000000006</v>
      </c>
      <c r="AL17" s="203">
        <v>438.72899999999998</v>
      </c>
      <c r="AM17" s="203">
        <v>249.81000000000029</v>
      </c>
      <c r="AN17" s="203">
        <v>710.97700000000009</v>
      </c>
      <c r="AO17" s="203">
        <f t="shared" si="0"/>
        <v>783.58000000000027</v>
      </c>
      <c r="AP17" s="203">
        <f t="shared" si="1"/>
        <v>859.97599999999989</v>
      </c>
    </row>
    <row r="18" spans="2:42">
      <c r="B18" s="204" t="s">
        <v>329</v>
      </c>
      <c r="C18" s="213" t="s">
        <v>340</v>
      </c>
      <c r="D18" s="213" t="s">
        <v>340</v>
      </c>
      <c r="E18" s="213" t="s">
        <v>340</v>
      </c>
      <c r="F18" s="213" t="s">
        <v>340</v>
      </c>
      <c r="G18" s="213" t="s">
        <v>340</v>
      </c>
      <c r="H18" s="213" t="s">
        <v>340</v>
      </c>
      <c r="I18" s="213" t="s">
        <v>340</v>
      </c>
      <c r="J18" s="213" t="s">
        <v>340</v>
      </c>
      <c r="K18" s="213" t="s">
        <v>340</v>
      </c>
      <c r="L18" s="213" t="s">
        <v>340</v>
      </c>
      <c r="M18" s="213" t="s">
        <v>340</v>
      </c>
      <c r="N18" s="213" t="s">
        <v>340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G18" s="206">
        <v>0</v>
      </c>
      <c r="AH18" s="206">
        <v>0.46800000000000003</v>
      </c>
      <c r="AI18" s="206">
        <v>0</v>
      </c>
      <c r="AJ18" s="206">
        <v>0</v>
      </c>
      <c r="AL18" s="206">
        <v>-3.1210000000000004</v>
      </c>
      <c r="AM18" s="206">
        <v>999.99300000000005</v>
      </c>
      <c r="AN18" s="206">
        <v>0</v>
      </c>
      <c r="AO18" s="206">
        <f t="shared" si="0"/>
        <v>1.236</v>
      </c>
      <c r="AP18" s="206">
        <f t="shared" si="1"/>
        <v>0.46800000000000003</v>
      </c>
    </row>
    <row r="19" spans="2:42">
      <c r="B19" s="204" t="s">
        <v>326</v>
      </c>
      <c r="C19" s="213" t="s">
        <v>340</v>
      </c>
      <c r="D19" s="213" t="s">
        <v>340</v>
      </c>
      <c r="E19" s="213" t="s">
        <v>340</v>
      </c>
      <c r="F19" s="213" t="s">
        <v>340</v>
      </c>
      <c r="G19" s="213" t="s">
        <v>340</v>
      </c>
      <c r="H19" s="213" t="s">
        <v>340</v>
      </c>
      <c r="I19" s="213" t="s">
        <v>340</v>
      </c>
      <c r="J19" s="213" t="s">
        <v>340</v>
      </c>
      <c r="K19" s="213" t="s">
        <v>340</v>
      </c>
      <c r="L19" s="213" t="s">
        <v>340</v>
      </c>
      <c r="M19" s="213" t="s">
        <v>340</v>
      </c>
      <c r="N19" s="213" t="s">
        <v>340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G19" s="206">
        <v>-99.966999999999985</v>
      </c>
      <c r="AH19" s="206">
        <v>-231.08999999999997</v>
      </c>
      <c r="AI19" s="206">
        <v>-96.793000000000006</v>
      </c>
      <c r="AJ19" s="206">
        <v>-243.899</v>
      </c>
      <c r="AL19" s="206">
        <v>-173.11199999999999</v>
      </c>
      <c r="AM19" s="206">
        <v>-394.45000000000005</v>
      </c>
      <c r="AN19" s="206">
        <v>-568.34799999999996</v>
      </c>
      <c r="AO19" s="206">
        <f t="shared" si="0"/>
        <v>-493.03399999999999</v>
      </c>
      <c r="AP19" s="206">
        <f t="shared" si="1"/>
        <v>-595.89099999999996</v>
      </c>
    </row>
    <row r="20" spans="2:42">
      <c r="B20" s="204" t="s">
        <v>337</v>
      </c>
      <c r="C20" s="213" t="s">
        <v>340</v>
      </c>
      <c r="D20" s="213" t="s">
        <v>340</v>
      </c>
      <c r="E20" s="213" t="s">
        <v>340</v>
      </c>
      <c r="F20" s="213" t="s">
        <v>340</v>
      </c>
      <c r="G20" s="213" t="s">
        <v>340</v>
      </c>
      <c r="H20" s="213" t="s">
        <v>340</v>
      </c>
      <c r="I20" s="213" t="s">
        <v>340</v>
      </c>
      <c r="J20" s="213" t="s">
        <v>340</v>
      </c>
      <c r="K20" s="213" t="s">
        <v>340</v>
      </c>
      <c r="L20" s="213" t="s">
        <v>340</v>
      </c>
      <c r="M20" s="213" t="s">
        <v>340</v>
      </c>
      <c r="N20" s="213" t="s">
        <v>340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G20" s="206">
        <f>-38.654-2.9+2.462</f>
        <v>-39.091999999999999</v>
      </c>
      <c r="AH20" s="206">
        <f>274.075-5.69-2.209</f>
        <v>266.17599999999999</v>
      </c>
      <c r="AI20" s="206">
        <f>-100.207-1.119</f>
        <v>-101.32599999999999</v>
      </c>
      <c r="AJ20" s="206">
        <f>197.854-0.84-2.642</f>
        <v>194.37200000000001</v>
      </c>
      <c r="AL20" s="206">
        <v>2304.7689999999998</v>
      </c>
      <c r="AM20" s="206">
        <v>321.89499999999998</v>
      </c>
      <c r="AN20" s="206">
        <v>-378.95799999999997</v>
      </c>
      <c r="AO20" s="206">
        <f t="shared" si="0"/>
        <v>273.26000000000022</v>
      </c>
      <c r="AP20" s="206">
        <f t="shared" si="1"/>
        <v>311.79499999999996</v>
      </c>
    </row>
    <row r="21" spans="2:42">
      <c r="B21" s="204" t="s">
        <v>328</v>
      </c>
      <c r="C21" s="213" t="s">
        <v>340</v>
      </c>
      <c r="D21" s="213" t="s">
        <v>340</v>
      </c>
      <c r="E21" s="213" t="s">
        <v>340</v>
      </c>
      <c r="F21" s="213" t="s">
        <v>340</v>
      </c>
      <c r="G21" s="213" t="s">
        <v>340</v>
      </c>
      <c r="H21" s="213" t="s">
        <v>340</v>
      </c>
      <c r="I21" s="213" t="s">
        <v>340</v>
      </c>
      <c r="J21" s="213" t="s">
        <v>340</v>
      </c>
      <c r="K21" s="213" t="s">
        <v>340</v>
      </c>
      <c r="L21" s="213" t="s">
        <v>340</v>
      </c>
      <c r="M21" s="213" t="s">
        <v>340</v>
      </c>
      <c r="N21" s="213" t="s">
        <v>340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G21" s="206">
        <v>-13.919</v>
      </c>
      <c r="AH21" s="206">
        <v>-33.593000000000004</v>
      </c>
      <c r="AI21" s="206">
        <v>-48.396999999999998</v>
      </c>
      <c r="AJ21" s="206">
        <v>-0.97700000000000387</v>
      </c>
      <c r="AL21" s="206">
        <v>-3795.0239999999999</v>
      </c>
      <c r="AM21" s="206">
        <v>-93.405000000000001</v>
      </c>
      <c r="AN21" s="206">
        <v>-109.114</v>
      </c>
      <c r="AO21" s="206">
        <f t="shared" si="0"/>
        <v>-50.821999999999996</v>
      </c>
      <c r="AP21" s="206">
        <f t="shared" si="1"/>
        <v>-52.209000000000003</v>
      </c>
    </row>
    <row r="22" spans="2:42">
      <c r="B22" s="204" t="s">
        <v>338</v>
      </c>
      <c r="C22" s="213" t="s">
        <v>340</v>
      </c>
      <c r="D22" s="213" t="s">
        <v>340</v>
      </c>
      <c r="E22" s="213" t="s">
        <v>340</v>
      </c>
      <c r="F22" s="213" t="s">
        <v>340</v>
      </c>
      <c r="G22" s="213" t="s">
        <v>340</v>
      </c>
      <c r="H22" s="213" t="s">
        <v>340</v>
      </c>
      <c r="I22" s="213" t="s">
        <v>340</v>
      </c>
      <c r="J22" s="213" t="s">
        <v>340</v>
      </c>
      <c r="K22" s="213" t="s">
        <v>340</v>
      </c>
      <c r="L22" s="213" t="s">
        <v>340</v>
      </c>
      <c r="M22" s="213" t="s">
        <v>340</v>
      </c>
      <c r="N22" s="213" t="s">
        <v>340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H22" s="206">
        <v>0</v>
      </c>
      <c r="AI22" s="206">
        <v>0</v>
      </c>
      <c r="AJ22" s="206">
        <v>0</v>
      </c>
      <c r="AL22" s="206">
        <v>-40.042999999999999</v>
      </c>
      <c r="AM22" s="206">
        <v>-120.598</v>
      </c>
      <c r="AN22" s="206">
        <v>-6.9329999999999998</v>
      </c>
      <c r="AO22" s="206">
        <f t="shared" si="0"/>
        <v>0</v>
      </c>
      <c r="AP22" s="206">
        <f t="shared" si="1"/>
        <v>0</v>
      </c>
    </row>
    <row r="23" spans="2:42">
      <c r="B23" s="204" t="s">
        <v>159</v>
      </c>
      <c r="C23" s="213" t="s">
        <v>340</v>
      </c>
      <c r="D23" s="213" t="s">
        <v>340</v>
      </c>
      <c r="E23" s="213" t="s">
        <v>340</v>
      </c>
      <c r="F23" s="213" t="s">
        <v>340</v>
      </c>
      <c r="G23" s="213" t="s">
        <v>340</v>
      </c>
      <c r="H23" s="213" t="s">
        <v>340</v>
      </c>
      <c r="I23" s="213" t="s">
        <v>340</v>
      </c>
      <c r="J23" s="213" t="s">
        <v>340</v>
      </c>
      <c r="K23" s="213" t="s">
        <v>340</v>
      </c>
      <c r="L23" s="213" t="s">
        <v>340</v>
      </c>
      <c r="M23" s="213" t="s">
        <v>340</v>
      </c>
      <c r="N23" s="213" t="s">
        <v>340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G23" s="206">
        <v>-27.669999999999995</v>
      </c>
      <c r="AH23" s="206">
        <v>-1.6380000000000052</v>
      </c>
      <c r="AI23" s="206">
        <v>0</v>
      </c>
      <c r="AJ23" s="206">
        <v>-53.936999999999998</v>
      </c>
      <c r="AL23" s="206">
        <v>0</v>
      </c>
      <c r="AM23" s="206">
        <v>-1.9159999999999999</v>
      </c>
      <c r="AN23" s="206">
        <v>-139.786</v>
      </c>
      <c r="AO23" s="206">
        <f t="shared" si="0"/>
        <v>-246.76300000000001</v>
      </c>
      <c r="AP23" s="206">
        <f t="shared" si="1"/>
        <v>-70.707999999999998</v>
      </c>
    </row>
    <row r="24" spans="2:42">
      <c r="B24" s="208" t="s">
        <v>335</v>
      </c>
      <c r="C24" s="213" t="s">
        <v>340</v>
      </c>
      <c r="D24" s="213" t="s">
        <v>340</v>
      </c>
      <c r="E24" s="213" t="s">
        <v>340</v>
      </c>
      <c r="F24" s="213" t="s">
        <v>340</v>
      </c>
      <c r="G24" s="213" t="s">
        <v>340</v>
      </c>
      <c r="H24" s="213" t="s">
        <v>340</v>
      </c>
      <c r="I24" s="213" t="s">
        <v>340</v>
      </c>
      <c r="J24" s="213" t="s">
        <v>340</v>
      </c>
      <c r="K24" s="213" t="s">
        <v>340</v>
      </c>
      <c r="L24" s="213" t="s">
        <v>340</v>
      </c>
      <c r="M24" s="213" t="s">
        <v>340</v>
      </c>
      <c r="N24" s="213" t="s">
        <v>340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G24" s="209">
        <v>-180.648</v>
      </c>
      <c r="AH24" s="209">
        <v>0.32300000000000306</v>
      </c>
      <c r="AI24" s="209">
        <v>-246.51599999999999</v>
      </c>
      <c r="AJ24" s="209">
        <v>-104.44100000000002</v>
      </c>
      <c r="AL24" s="209">
        <v>-1201.2910000000002</v>
      </c>
      <c r="AM24" s="209">
        <v>711.51900000000001</v>
      </c>
      <c r="AN24" s="209">
        <v>-1203.1389999999999</v>
      </c>
      <c r="AO24" s="209">
        <f t="shared" si="0"/>
        <v>-516.12299999999982</v>
      </c>
      <c r="AP24" s="209">
        <f t="shared" si="1"/>
        <v>-406.54499999999996</v>
      </c>
    </row>
    <row r="25" spans="2:42">
      <c r="B25" s="207" t="s">
        <v>330</v>
      </c>
      <c r="C25" s="212" t="s">
        <v>340</v>
      </c>
      <c r="D25" s="212" t="s">
        <v>340</v>
      </c>
      <c r="E25" s="212" t="s">
        <v>340</v>
      </c>
      <c r="F25" s="212" t="s">
        <v>340</v>
      </c>
      <c r="G25" s="212" t="s">
        <v>340</v>
      </c>
      <c r="H25" s="212" t="s">
        <v>340</v>
      </c>
      <c r="I25" s="212" t="s">
        <v>340</v>
      </c>
      <c r="J25" s="212" t="s">
        <v>340</v>
      </c>
      <c r="K25" s="212" t="s">
        <v>340</v>
      </c>
      <c r="L25" s="212" t="s">
        <v>340</v>
      </c>
      <c r="M25" s="212" t="s">
        <v>340</v>
      </c>
      <c r="N25" s="212" t="s">
        <v>340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G25" s="203">
        <f>+AG17+AG24</f>
        <v>232.18300000000002</v>
      </c>
      <c r="AH25" s="203">
        <f>+AH17+AH24</f>
        <v>28.951999999999909</v>
      </c>
      <c r="AI25" s="203">
        <v>52.477999999999959</v>
      </c>
      <c r="AJ25" s="203">
        <v>45.410000000000032</v>
      </c>
      <c r="AL25" s="203">
        <v>-762.56200000000013</v>
      </c>
      <c r="AM25" s="203">
        <v>961.32900000000029</v>
      </c>
      <c r="AN25" s="203">
        <v>-492.16199999999981</v>
      </c>
      <c r="AO25" s="203">
        <f t="shared" si="0"/>
        <v>267.45700000000056</v>
      </c>
      <c r="AP25" s="203">
        <f t="shared" si="1"/>
        <v>453.43099999999993</v>
      </c>
    </row>
    <row r="26" spans="2:42">
      <c r="B26" s="204" t="s">
        <v>331</v>
      </c>
      <c r="C26" s="213" t="s">
        <v>340</v>
      </c>
      <c r="D26" s="213" t="s">
        <v>340</v>
      </c>
      <c r="E26" s="213" t="s">
        <v>340</v>
      </c>
      <c r="F26" s="213" t="s">
        <v>340</v>
      </c>
      <c r="G26" s="213" t="s">
        <v>340</v>
      </c>
      <c r="H26" s="213" t="s">
        <v>340</v>
      </c>
      <c r="I26" s="213" t="s">
        <v>340</v>
      </c>
      <c r="J26" s="213" t="s">
        <v>340</v>
      </c>
      <c r="K26" s="213" t="s">
        <v>340</v>
      </c>
      <c r="L26" s="213" t="s">
        <v>340</v>
      </c>
      <c r="M26" s="213" t="s">
        <v>340</v>
      </c>
      <c r="N26" s="213" t="s">
        <v>340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>+AE27</f>
        <v>1391.9211666800009</v>
      </c>
      <c r="AG26" s="206">
        <f>+AF27</f>
        <v>1444.2795459900012</v>
      </c>
      <c r="AH26" s="206">
        <f>+AG27</f>
        <v>1676.463</v>
      </c>
      <c r="AI26" s="206">
        <f>+AH27</f>
        <v>1705.415</v>
      </c>
      <c r="AJ26" s="206">
        <f>+AI27</f>
        <v>1757.893</v>
      </c>
      <c r="AL26" s="206">
        <v>1277.854</v>
      </c>
      <c r="AM26" s="206">
        <v>515.30099999999993</v>
      </c>
      <c r="AN26" s="206">
        <v>1476.6299999999999</v>
      </c>
      <c r="AO26" s="206">
        <v>984.46799999999985</v>
      </c>
      <c r="AP26" s="206">
        <f>SUM(AE26)</f>
        <v>1251.9801854300013</v>
      </c>
    </row>
    <row r="27" spans="2:42">
      <c r="B27" s="204" t="s">
        <v>332</v>
      </c>
      <c r="C27" s="213" t="s">
        <v>340</v>
      </c>
      <c r="D27" s="213" t="s">
        <v>340</v>
      </c>
      <c r="E27" s="213" t="s">
        <v>340</v>
      </c>
      <c r="F27" s="213" t="s">
        <v>340</v>
      </c>
      <c r="G27" s="213" t="s">
        <v>340</v>
      </c>
      <c r="H27" s="213" t="s">
        <v>340</v>
      </c>
      <c r="I27" s="213" t="s">
        <v>340</v>
      </c>
      <c r="J27" s="213" t="s">
        <v>340</v>
      </c>
      <c r="K27" s="213" t="s">
        <v>340</v>
      </c>
      <c r="L27" s="213" t="s">
        <v>340</v>
      </c>
      <c r="M27" s="213" t="s">
        <v>340</v>
      </c>
      <c r="N27" s="213" t="s">
        <v>340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G27" s="205">
        <v>1676.463</v>
      </c>
      <c r="AH27" s="205">
        <v>1705.415</v>
      </c>
      <c r="AI27" s="205">
        <v>1757.893</v>
      </c>
      <c r="AJ27" s="205">
        <v>1803.3030000000001</v>
      </c>
      <c r="AL27" s="205">
        <v>515.30099999999993</v>
      </c>
      <c r="AM27" s="205">
        <v>1476.6299999999999</v>
      </c>
      <c r="AN27" s="205">
        <v>984.46799999999985</v>
      </c>
      <c r="AO27" s="205">
        <v>1252</v>
      </c>
      <c r="AP27" s="205">
        <f>AH27</f>
        <v>1705.415</v>
      </c>
    </row>
    <row r="28" spans="2:42" ht="15" customHeight="1">
      <c r="AB28" s="348"/>
      <c r="AC28" s="348"/>
      <c r="AD28" s="348"/>
      <c r="AE28" s="348"/>
      <c r="AF28" s="348"/>
      <c r="AG28" s="348"/>
      <c r="AH28" s="348"/>
      <c r="AI28" s="348"/>
      <c r="AJ28" s="348"/>
      <c r="AO28" s="322"/>
      <c r="AP28" s="322"/>
    </row>
    <row r="29" spans="2:42" ht="15" customHeight="1"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</row>
    <row r="30" spans="2:42" ht="15" customHeight="1">
      <c r="O30" s="276"/>
      <c r="P30" s="276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  <c r="AJ30" s="276"/>
    </row>
    <row r="31" spans="2:42" ht="15" customHeight="1"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 AO5:AP26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J19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ollapsed="1"/>
  </cols>
  <sheetData>
    <row r="1" spans="1:36" ht="18.75">
      <c r="A1" s="260"/>
      <c r="B1" s="333" t="s">
        <v>375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</row>
    <row r="2" spans="1:36">
      <c r="A2" s="260"/>
      <c r="B2" s="280" t="s">
        <v>379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</row>
    <row r="3" spans="1:36">
      <c r="A3" s="260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</row>
    <row r="4" spans="1:36" ht="15" customHeight="1">
      <c r="A4" s="260"/>
      <c r="B4" s="182" t="s">
        <v>384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</row>
    <row r="5" spans="1:36" ht="15" customHeight="1">
      <c r="A5" s="5"/>
      <c r="B5" s="183" t="s">
        <v>242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  <c r="AG5" s="187">
        <v>900.15507673669129</v>
      </c>
      <c r="AH5" s="187">
        <v>887.49977779906362</v>
      </c>
      <c r="AI5" s="187">
        <v>1014.9300000000001</v>
      </c>
      <c r="AJ5" s="187">
        <v>1020.06823408</v>
      </c>
    </row>
    <row r="6" spans="1:36" ht="15" customHeight="1">
      <c r="A6" s="5"/>
      <c r="B6" s="184" t="s">
        <v>288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  <c r="AG6" s="188">
        <v>3947.5770212243656</v>
      </c>
      <c r="AH6" s="188">
        <v>4023.6968613200002</v>
      </c>
      <c r="AI6" s="188">
        <v>4109.3545428000007</v>
      </c>
      <c r="AJ6" s="188">
        <v>4148.6870423253004</v>
      </c>
    </row>
    <row r="7" spans="1:36" ht="15" customHeight="1">
      <c r="A7" s="132"/>
      <c r="B7" s="256" t="s">
        <v>243</v>
      </c>
      <c r="C7" s="257" t="s">
        <v>340</v>
      </c>
      <c r="D7" s="257" t="s">
        <v>340</v>
      </c>
      <c r="E7" s="257" t="s">
        <v>340</v>
      </c>
      <c r="F7" s="257" t="s">
        <v>340</v>
      </c>
      <c r="G7" s="257" t="s">
        <v>340</v>
      </c>
      <c r="H7" s="257" t="s">
        <v>340</v>
      </c>
      <c r="I7" s="257" t="s">
        <v>340</v>
      </c>
      <c r="J7" s="257" t="s">
        <v>340</v>
      </c>
      <c r="K7" s="257" t="s">
        <v>340</v>
      </c>
      <c r="L7" s="257" t="s">
        <v>340</v>
      </c>
      <c r="M7" s="257" t="s">
        <v>340</v>
      </c>
      <c r="N7" s="257" t="s">
        <v>340</v>
      </c>
      <c r="O7" s="258">
        <v>97.618382010809469</v>
      </c>
      <c r="P7" s="258">
        <v>140.7618476809817</v>
      </c>
      <c r="Q7" s="258">
        <v>114.42421414446977</v>
      </c>
      <c r="R7" s="258">
        <v>89.625851187293094</v>
      </c>
      <c r="S7" s="258">
        <v>83.59022364929335</v>
      </c>
      <c r="T7" s="258">
        <v>80.927328654675776</v>
      </c>
      <c r="U7" s="258">
        <v>87.082957734086094</v>
      </c>
      <c r="V7" s="258">
        <v>85.784070739398061</v>
      </c>
      <c r="W7" s="258">
        <v>94.432765509356216</v>
      </c>
      <c r="X7" s="258">
        <v>86.628458168981879</v>
      </c>
      <c r="Y7" s="258">
        <v>73.754905929646</v>
      </c>
      <c r="Z7" s="258">
        <v>73.922316977174262</v>
      </c>
      <c r="AA7" s="258">
        <v>85.548455443604396</v>
      </c>
      <c r="AB7" s="258">
        <v>85.801565725145622</v>
      </c>
      <c r="AC7" s="258">
        <v>84.214703214691809</v>
      </c>
      <c r="AD7" s="258">
        <v>79.253007763719509</v>
      </c>
      <c r="AE7" s="258">
        <v>86.188183836665914</v>
      </c>
      <c r="AF7" s="258">
        <v>85.863043819747759</v>
      </c>
      <c r="AG7" s="258">
        <v>82.089804931709963</v>
      </c>
      <c r="AH7" s="258">
        <v>79.404570229688929</v>
      </c>
      <c r="AI7" s="258">
        <v>88.912941483760065</v>
      </c>
      <c r="AJ7" s="258">
        <v>88.485673633991752</v>
      </c>
    </row>
    <row r="8" spans="1:36" ht="15" customHeight="1">
      <c r="A8" s="5"/>
      <c r="B8" s="143" t="s">
        <v>341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  <c r="AG8" s="187">
        <v>773.80614555669126</v>
      </c>
      <c r="AH8" s="187">
        <v>770.56035399906364</v>
      </c>
      <c r="AI8" s="187">
        <v>867.55189302000008</v>
      </c>
      <c r="AJ8" s="187">
        <v>637.21312545707599</v>
      </c>
    </row>
    <row r="9" spans="1:36" ht="15" customHeight="1">
      <c r="A9" s="5"/>
      <c r="B9" s="184" t="s">
        <v>288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  <c r="AG9" s="187">
        <v>3765.2211065799997</v>
      </c>
      <c r="AH9" s="187">
        <v>3829.4938184321531</v>
      </c>
      <c r="AI9" s="187">
        <v>3884.8495471974848</v>
      </c>
      <c r="AJ9" s="187">
        <v>2290.36006530655</v>
      </c>
    </row>
    <row r="10" spans="1:36">
      <c r="A10" s="132"/>
      <c r="B10" s="256" t="s">
        <v>344</v>
      </c>
      <c r="C10" s="257" t="s">
        <v>340</v>
      </c>
      <c r="D10" s="257" t="s">
        <v>340</v>
      </c>
      <c r="E10" s="257" t="s">
        <v>340</v>
      </c>
      <c r="F10" s="257" t="s">
        <v>340</v>
      </c>
      <c r="G10" s="257" t="s">
        <v>340</v>
      </c>
      <c r="H10" s="257" t="s">
        <v>340</v>
      </c>
      <c r="I10" s="257" t="s">
        <v>340</v>
      </c>
      <c r="J10" s="257" t="s">
        <v>340</v>
      </c>
      <c r="K10" s="257" t="s">
        <v>340</v>
      </c>
      <c r="L10" s="257" t="s">
        <v>340</v>
      </c>
      <c r="M10" s="257" t="s">
        <v>340</v>
      </c>
      <c r="N10" s="257" t="s">
        <v>340</v>
      </c>
      <c r="O10" s="258">
        <v>92.262939933382199</v>
      </c>
      <c r="P10" s="258">
        <v>123.88479490200923</v>
      </c>
      <c r="Q10" s="258">
        <v>101.50123754256039</v>
      </c>
      <c r="R10" s="258">
        <v>75.611215579607929</v>
      </c>
      <c r="S10" s="258">
        <v>61.194433566561266</v>
      </c>
      <c r="T10" s="258">
        <v>72.20957099384097</v>
      </c>
      <c r="U10" s="258">
        <v>78.731960129338617</v>
      </c>
      <c r="V10" s="258">
        <v>72.939706665925769</v>
      </c>
      <c r="W10" s="258">
        <v>84.558005210518957</v>
      </c>
      <c r="X10" s="258">
        <v>75.891320096834718</v>
      </c>
      <c r="Y10" s="258">
        <v>59.894974433611033</v>
      </c>
      <c r="Z10" s="258">
        <v>59.236142442480478</v>
      </c>
      <c r="AA10" s="258">
        <v>83.828072776248121</v>
      </c>
      <c r="AB10" s="258">
        <v>77.930926786409614</v>
      </c>
      <c r="AC10" s="258">
        <v>76.511014329613332</v>
      </c>
      <c r="AD10" s="258">
        <v>72.24605158000216</v>
      </c>
      <c r="AE10" s="258">
        <v>78.876651994055763</v>
      </c>
      <c r="AF10" s="258">
        <v>78.464269927163841</v>
      </c>
      <c r="AG10" s="258">
        <v>73.985087333539852</v>
      </c>
      <c r="AH10" s="258">
        <v>72.438223063442607</v>
      </c>
      <c r="AI10" s="258">
        <v>80.39402239206548</v>
      </c>
      <c r="AJ10" s="258">
        <v>99.930047373122363</v>
      </c>
    </row>
    <row r="11" spans="1:36" ht="15" customHeight="1">
      <c r="A11" s="5"/>
      <c r="B11" s="143" t="s">
        <v>342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  <c r="AG11" s="187">
        <v>126.34893117999999</v>
      </c>
      <c r="AH11" s="187">
        <v>116.9394238</v>
      </c>
      <c r="AI11" s="187">
        <v>147.37810698000004</v>
      </c>
      <c r="AJ11" s="187">
        <v>143.68100000000001</v>
      </c>
    </row>
    <row r="12" spans="1:36" ht="15" customHeight="1">
      <c r="A12" s="5"/>
      <c r="B12" s="184" t="s">
        <v>288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  <c r="AG12" s="187">
        <v>182.35591464436601</v>
      </c>
      <c r="AH12" s="187">
        <v>194.2030428878472</v>
      </c>
      <c r="AI12" s="187">
        <v>224.50499560251581</v>
      </c>
      <c r="AJ12" s="187">
        <v>265.65786926875398</v>
      </c>
    </row>
    <row r="13" spans="1:36" ht="15" customHeight="1">
      <c r="A13" s="132"/>
      <c r="B13" s="256" t="s">
        <v>106</v>
      </c>
      <c r="C13" s="257" t="s">
        <v>340</v>
      </c>
      <c r="D13" s="257" t="s">
        <v>340</v>
      </c>
      <c r="E13" s="257" t="s">
        <v>340</v>
      </c>
      <c r="F13" s="257" t="s">
        <v>340</v>
      </c>
      <c r="G13" s="257" t="s">
        <v>340</v>
      </c>
      <c r="H13" s="257" t="s">
        <v>340</v>
      </c>
      <c r="I13" s="257" t="s">
        <v>340</v>
      </c>
      <c r="J13" s="257" t="s">
        <v>340</v>
      </c>
      <c r="K13" s="257" t="s">
        <v>340</v>
      </c>
      <c r="L13" s="257" t="s">
        <v>340</v>
      </c>
      <c r="M13" s="257" t="s">
        <v>340</v>
      </c>
      <c r="N13" s="257" t="s">
        <v>340</v>
      </c>
      <c r="O13" s="258">
        <v>88.61480204072808</v>
      </c>
      <c r="P13" s="258">
        <v>155.70305470035191</v>
      </c>
      <c r="Q13" s="258">
        <v>187.12430006667299</v>
      </c>
      <c r="R13" s="258">
        <v>182.07746666023922</v>
      </c>
      <c r="S13" s="258">
        <v>143.79546904527842</v>
      </c>
      <c r="T13" s="258">
        <v>158.31957875853453</v>
      </c>
      <c r="U13" s="258">
        <v>152.2762392914176</v>
      </c>
      <c r="V13" s="258">
        <v>216.73252721097552</v>
      </c>
      <c r="W13" s="258">
        <v>173.45983399205809</v>
      </c>
      <c r="X13" s="258">
        <v>191.84630516013519</v>
      </c>
      <c r="Y13" s="258">
        <v>231.15251550213509</v>
      </c>
      <c r="Z13" s="258">
        <v>218.06265779578229</v>
      </c>
      <c r="AA13" s="258">
        <v>249.45382670779239</v>
      </c>
      <c r="AB13" s="258">
        <v>269.9124876574856</v>
      </c>
      <c r="AC13" s="258">
        <v>260.99956435941408</v>
      </c>
      <c r="AD13" s="258">
        <v>222.33156370801788</v>
      </c>
      <c r="AE13" s="258">
        <v>237.35416155877763</v>
      </c>
      <c r="AF13" s="258">
        <v>246.03368748848416</v>
      </c>
      <c r="AG13" s="258">
        <v>249.43317749526753</v>
      </c>
      <c r="AH13" s="258">
        <v>216.77411405088964</v>
      </c>
      <c r="AI13" s="258">
        <v>236.3248905460234</v>
      </c>
      <c r="AJ13" s="258">
        <v>194.70592059771468</v>
      </c>
    </row>
    <row r="14" spans="1:36" ht="15" customHeight="1">
      <c r="A14" s="5"/>
      <c r="B14" s="143" t="s">
        <v>343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52" t="s">
        <v>340</v>
      </c>
      <c r="L14" s="152" t="s">
        <v>340</v>
      </c>
      <c r="M14" s="152" t="s">
        <v>340</v>
      </c>
      <c r="N14" s="152" t="s">
        <v>340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</row>
    <row r="15" spans="1:36">
      <c r="A15" s="5"/>
      <c r="B15" s="184" t="s">
        <v>288</v>
      </c>
      <c r="C15" s="152" t="s">
        <v>340</v>
      </c>
      <c r="D15" s="152" t="s">
        <v>340</v>
      </c>
      <c r="E15" s="152" t="s">
        <v>340</v>
      </c>
      <c r="F15" s="152" t="s">
        <v>340</v>
      </c>
      <c r="G15" s="152" t="s">
        <v>340</v>
      </c>
      <c r="H15" s="152" t="s">
        <v>340</v>
      </c>
      <c r="I15" s="152" t="s">
        <v>340</v>
      </c>
      <c r="J15" s="152" t="s">
        <v>340</v>
      </c>
      <c r="K15" s="152" t="s">
        <v>340</v>
      </c>
      <c r="L15" s="152" t="s">
        <v>340</v>
      </c>
      <c r="M15" s="152" t="s">
        <v>340</v>
      </c>
      <c r="N15" s="152" t="s">
        <v>340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</row>
    <row r="16" spans="1:36">
      <c r="A16" s="132"/>
      <c r="B16" s="256" t="s">
        <v>249</v>
      </c>
      <c r="C16" s="257" t="s">
        <v>340</v>
      </c>
      <c r="D16" s="257" t="s">
        <v>340</v>
      </c>
      <c r="E16" s="257" t="s">
        <v>340</v>
      </c>
      <c r="F16" s="257" t="s">
        <v>340</v>
      </c>
      <c r="G16" s="257" t="s">
        <v>340</v>
      </c>
      <c r="H16" s="257" t="s">
        <v>340</v>
      </c>
      <c r="I16" s="257" t="s">
        <v>340</v>
      </c>
      <c r="J16" s="257" t="s">
        <v>340</v>
      </c>
      <c r="K16" s="257" t="s">
        <v>340</v>
      </c>
      <c r="L16" s="257" t="s">
        <v>340</v>
      </c>
      <c r="M16" s="257" t="s">
        <v>340</v>
      </c>
      <c r="N16" s="257" t="s">
        <v>340</v>
      </c>
      <c r="O16" s="258">
        <v>188.00320642713353</v>
      </c>
      <c r="P16" s="258">
        <v>354.83289927109462</v>
      </c>
      <c r="Q16" s="258">
        <v>210.01443237160223</v>
      </c>
      <c r="R16" s="258">
        <v>177.45358735058986</v>
      </c>
      <c r="S16" s="258">
        <v>135.29328964085846</v>
      </c>
      <c r="T16" s="258">
        <v>117.99067633288</v>
      </c>
      <c r="U16" s="258">
        <v>131.72789674211987</v>
      </c>
      <c r="V16" s="258">
        <v>153.86966165566068</v>
      </c>
      <c r="W16" s="258">
        <v>174.61497950744607</v>
      </c>
      <c r="X16" s="258">
        <v>165.59279706069873</v>
      </c>
      <c r="Y16" s="258">
        <v>179.4785826520237</v>
      </c>
      <c r="Z16" s="258">
        <v>207.12840325251929</v>
      </c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</row>
    <row r="17" spans="1:36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</row>
    <row r="18" spans="1:36">
      <c r="A18" s="5"/>
      <c r="B18" s="143" t="s">
        <v>292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</row>
    <row r="19" spans="1:36">
      <c r="A19" s="5"/>
      <c r="B19" s="143" t="s">
        <v>276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P13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J2" sqref="AJ2"/>
    </sheetView>
  </sheetViews>
  <sheetFormatPr defaultColWidth="10.7109375" defaultRowHeight="15" customHeight="1" outlineLevelCol="1"/>
  <cols>
    <col min="1" max="1" width="1.7109375" customWidth="1"/>
    <col min="2" max="2" width="45.7109375" customWidth="1" collapsed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ustomWidth="1" collapsed="1"/>
    <col min="16" max="28" width="10.7109375" customWidth="1"/>
  </cols>
  <sheetData>
    <row r="1" spans="1:42" ht="18.75">
      <c r="A1" s="260"/>
      <c r="B1" s="331" t="s">
        <v>376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  <c r="AO1" s="260"/>
      <c r="AP1" s="260"/>
    </row>
    <row r="2" spans="1:42">
      <c r="A2" s="260"/>
      <c r="B2" s="280" t="s">
        <v>379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</row>
    <row r="3" spans="1:42">
      <c r="A3" s="260"/>
      <c r="B3" s="267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</row>
    <row r="4" spans="1:42" ht="15" customHeight="1">
      <c r="A4" s="260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K4" s="260"/>
      <c r="AL4" s="73">
        <v>2021</v>
      </c>
      <c r="AM4" s="73">
        <v>2022</v>
      </c>
      <c r="AN4" s="73">
        <v>2023</v>
      </c>
      <c r="AO4" s="73">
        <v>2024</v>
      </c>
      <c r="AP4" s="73">
        <v>2025</v>
      </c>
    </row>
    <row r="5" spans="1:42" ht="15" customHeight="1">
      <c r="A5" s="79"/>
      <c r="B5" s="128" t="s">
        <v>345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2">
        <f>'Histórico Ebitda LTM'!AG5</f>
        <v>1005.9151693699989</v>
      </c>
      <c r="AH5" s="192">
        <f>'Histórico Ebitda LTM'!AH5</f>
        <v>972.31992930000115</v>
      </c>
      <c r="AI5" s="192">
        <f>'Histórico Ebitda LTM'!AI5</f>
        <v>1120.40276784</v>
      </c>
      <c r="AJ5" s="192">
        <f>'Histórico Ebitda LTM'!AJ5</f>
        <v>1050.0492925999999</v>
      </c>
      <c r="AK5" s="191"/>
      <c r="AL5" s="192">
        <v>2650.809389250001</v>
      </c>
      <c r="AM5" s="192">
        <v>3563.2301301599991</v>
      </c>
      <c r="AN5" s="192">
        <v>3732.9396222200003</v>
      </c>
      <c r="AO5" s="192">
        <f>SUM(AA5:AD5)</f>
        <v>3801.3781392900014</v>
      </c>
      <c r="AP5" s="192">
        <f>SUM(AE5:AH5)</f>
        <v>4023.6967384700006</v>
      </c>
    </row>
    <row r="6" spans="1:42" ht="15" customHeight="1">
      <c r="A6" s="79"/>
      <c r="B6" s="128" t="s">
        <v>177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3">
        <f>-'DRE Consolidada '!AG16</f>
        <v>29.440410190000037</v>
      </c>
      <c r="AH6" s="193">
        <f>-'DRE Consolidada '!AH16</f>
        <v>49.767605939999967</v>
      </c>
      <c r="AI6" s="193">
        <f>-'DRE Consolidada '!AI16</f>
        <v>53.026019289999994</v>
      </c>
      <c r="AJ6" s="193">
        <f>-'DRE Consolidada '!AJ16</f>
        <v>55.983326129999995</v>
      </c>
      <c r="AK6" s="191"/>
      <c r="AL6" s="193">
        <v>161.44398111999999</v>
      </c>
      <c r="AM6" s="192">
        <v>194.49546143999999</v>
      </c>
      <c r="AN6" s="192">
        <v>192.40358312000001</v>
      </c>
      <c r="AO6" s="192">
        <f>SUM(AA6:AD6)</f>
        <v>178.52603951</v>
      </c>
      <c r="AP6" s="192">
        <f>SUM(AE6:AH6)</f>
        <v>173.16533147000001</v>
      </c>
    </row>
    <row r="7" spans="1:42" ht="15" customHeight="1">
      <c r="A7" s="79"/>
      <c r="B7" s="194" t="s">
        <v>91</v>
      </c>
      <c r="C7" s="186" t="s">
        <v>340</v>
      </c>
      <c r="D7" s="186" t="s">
        <v>340</v>
      </c>
      <c r="E7" s="186" t="s">
        <v>340</v>
      </c>
      <c r="F7" s="186" t="s">
        <v>340</v>
      </c>
      <c r="G7" s="186" t="s">
        <v>340</v>
      </c>
      <c r="H7" s="186" t="s">
        <v>340</v>
      </c>
      <c r="I7" s="186" t="s">
        <v>340</v>
      </c>
      <c r="J7" s="186" t="s">
        <v>340</v>
      </c>
      <c r="K7" s="186" t="s">
        <v>340</v>
      </c>
      <c r="L7" s="186" t="s">
        <v>340</v>
      </c>
      <c r="M7" s="186" t="s">
        <v>340</v>
      </c>
      <c r="N7" s="186" t="s">
        <v>340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 t="shared" ref="AE7:AJ7" si="0">AE6/AE5</f>
        <v>5.0123242587705549E-2</v>
      </c>
      <c r="AF7" s="195">
        <f t="shared" si="0"/>
        <v>4.1600895997954003E-2</v>
      </c>
      <c r="AG7" s="195">
        <f t="shared" si="0"/>
        <v>2.9267289217279089E-2</v>
      </c>
      <c r="AH7" s="195">
        <f t="shared" si="0"/>
        <v>5.118439357283254E-2</v>
      </c>
      <c r="AI7" s="195">
        <f t="shared" si="0"/>
        <v>4.7327640391524289E-2</v>
      </c>
      <c r="AJ7" s="195">
        <f t="shared" si="0"/>
        <v>5.3314950569016743E-2</v>
      </c>
      <c r="AK7" s="79"/>
      <c r="AL7" s="195">
        <v>6.0903655228744177E-2</v>
      </c>
      <c r="AM7" s="195">
        <v>5.4584030313884493E-2</v>
      </c>
      <c r="AN7" s="195">
        <v>5.1542109595005048E-2</v>
      </c>
      <c r="AO7" s="195">
        <f>IFERROR(AO6/AO5,0)</f>
        <v>4.6963504541893332E-2</v>
      </c>
      <c r="AP7" s="195">
        <f>IFERROR(AP6/AP5,0)</f>
        <v>4.3036377422381401E-2</v>
      </c>
    </row>
    <row r="8" spans="1:42" ht="15" customHeight="1">
      <c r="A8" s="5"/>
      <c r="B8" s="79" t="s">
        <v>92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187">
        <v>54.133629943274101</v>
      </c>
      <c r="AH8" s="187">
        <v>53.458239325479497</v>
      </c>
      <c r="AI8" s="187">
        <v>73.664280520817101</v>
      </c>
      <c r="AJ8" s="187">
        <v>84.401719479182901</v>
      </c>
      <c r="AK8" s="83"/>
      <c r="AL8" s="187">
        <v>444.31569717472541</v>
      </c>
      <c r="AM8" s="187">
        <v>212.88795285022383</v>
      </c>
      <c r="AN8" s="187">
        <f>SUM(W8:Z8)</f>
        <v>161.17257468683289</v>
      </c>
      <c r="AO8" s="187">
        <f>SUM(AA8:AD8)</f>
        <v>177.472776882993</v>
      </c>
      <c r="AP8" s="187">
        <f>SUM(AE8:AH8)</f>
        <v>194.20304288784729</v>
      </c>
    </row>
    <row r="9" spans="1:42" ht="15" customHeight="1">
      <c r="A9" s="5"/>
      <c r="B9" s="79" t="s">
        <v>93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187">
        <v>5.7290000000000001</v>
      </c>
      <c r="AH9" s="187">
        <v>-2.3849999999999998</v>
      </c>
      <c r="AI9" s="187">
        <v>2.395</v>
      </c>
      <c r="AJ9" s="187">
        <v>1.716</v>
      </c>
      <c r="AK9" s="83"/>
      <c r="AL9" s="187">
        <v>2.3171072700000002</v>
      </c>
      <c r="AM9" s="187">
        <v>4.49</v>
      </c>
      <c r="AN9" s="187">
        <f>SUM(W9:Z9)</f>
        <v>-2.5920000000000001</v>
      </c>
      <c r="AO9" s="187">
        <f>SUM(AA9:AD9)</f>
        <v>5.6270000000000007</v>
      </c>
      <c r="AP9" s="187">
        <f>SUM(AE9:AH9)</f>
        <v>5.8100000000000005</v>
      </c>
    </row>
    <row r="10" spans="1:42" ht="15" customHeight="1">
      <c r="A10" s="5"/>
      <c r="B10" s="196" t="s">
        <v>94</v>
      </c>
      <c r="C10" s="186" t="s">
        <v>340</v>
      </c>
      <c r="D10" s="186" t="s">
        <v>340</v>
      </c>
      <c r="E10" s="186" t="s">
        <v>340</v>
      </c>
      <c r="F10" s="186" t="s">
        <v>340</v>
      </c>
      <c r="G10" s="186" t="s">
        <v>340</v>
      </c>
      <c r="H10" s="186" t="s">
        <v>340</v>
      </c>
      <c r="I10" s="186" t="s">
        <v>340</v>
      </c>
      <c r="J10" s="186" t="s">
        <v>340</v>
      </c>
      <c r="K10" s="186" t="s">
        <v>340</v>
      </c>
      <c r="L10" s="186" t="s">
        <v>340</v>
      </c>
      <c r="M10" s="186" t="s">
        <v>340</v>
      </c>
      <c r="N10" s="186" t="s">
        <v>340</v>
      </c>
      <c r="O10" s="197">
        <f t="shared" ref="O10" si="1">O9/O8</f>
        <v>2.6893425581481504E-2</v>
      </c>
      <c r="P10" s="197">
        <f t="shared" ref="P10" si="2">P9/P8</f>
        <v>1.8028824781251982E-2</v>
      </c>
      <c r="Q10" s="197">
        <f t="shared" ref="Q10" si="3">Q9/Q8</f>
        <v>-7.7948182189990214E-3</v>
      </c>
      <c r="R10" s="197">
        <f t="shared" ref="R10" si="4">R9/R8</f>
        <v>5.318914924794734E-3</v>
      </c>
      <c r="S10" s="197">
        <f t="shared" ref="S10" si="5">S9/S8</f>
        <v>1.1334973436765629E-2</v>
      </c>
      <c r="T10" s="197">
        <f t="shared" ref="T10" si="6">T9/T8</f>
        <v>1.1251326382991917E-2</v>
      </c>
      <c r="U10" s="197">
        <f t="shared" ref="U10" si="7">U9/U8</f>
        <v>7.8585926314425469E-3</v>
      </c>
      <c r="V10" s="197">
        <f t="shared" ref="V10" si="8">V9/V8</f>
        <v>0.13099551936174861</v>
      </c>
      <c r="W10" s="197">
        <f t="shared" ref="W10" si="9">W9/W8</f>
        <v>1.726880965372821E-2</v>
      </c>
      <c r="X10" s="197">
        <f t="shared" ref="X10" si="10">X9/X8</f>
        <v>2.0692918448922293E-2</v>
      </c>
      <c r="Y10" s="197">
        <f t="shared" ref="Y10" si="11">Y9/Y8</f>
        <v>1.9240123908311049E-2</v>
      </c>
      <c r="Z10" s="197">
        <f t="shared" ref="Z10" si="12">Z9/Z8</f>
        <v>-0.22328898507771799</v>
      </c>
      <c r="AA10" s="197">
        <f t="shared" ref="AA10" si="13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 t="shared" ref="AE10:AJ10" si="14">IFERROR(AE9/AE8,0)</f>
        <v>2.6751331367305408E-2</v>
      </c>
      <c r="AF10" s="197">
        <f t="shared" si="14"/>
        <v>3.0197337650316892E-2</v>
      </c>
      <c r="AG10" s="197">
        <f t="shared" si="14"/>
        <v>0.10583070091555548</v>
      </c>
      <c r="AH10" s="197">
        <f t="shared" si="14"/>
        <v>-4.4614263958058391E-2</v>
      </c>
      <c r="AI10" s="197">
        <f t="shared" si="14"/>
        <v>3.2512365329125652E-2</v>
      </c>
      <c r="AJ10" s="197">
        <f t="shared" si="14"/>
        <v>2.0331339344611805E-2</v>
      </c>
      <c r="AK10" s="5"/>
      <c r="AL10" s="199">
        <v>5.2150020463688608E-3</v>
      </c>
      <c r="AM10" s="199">
        <v>2.1090906929613417E-2</v>
      </c>
      <c r="AN10" s="197">
        <f>IFERROR(AN9/AN8,0)</f>
        <v>-1.6082140556706981E-2</v>
      </c>
      <c r="AO10" s="197">
        <f>IFERROR(AO9/AO8,0)</f>
        <v>3.1706271231163846E-2</v>
      </c>
      <c r="AP10" s="197">
        <f>IFERROR(AP9/AP8,0)</f>
        <v>2.9917141943832926E-2</v>
      </c>
    </row>
    <row r="11" spans="1:42" ht="15" customHeight="1">
      <c r="A11" s="5"/>
      <c r="B11" s="79" t="s">
        <v>95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 t="shared" ref="AE11:AJ11" si="15">AE5-AE8</f>
        <v>996.7594627738514</v>
      </c>
      <c r="AF11" s="187">
        <f t="shared" si="15"/>
        <v>962.09100340705538</v>
      </c>
      <c r="AG11" s="187">
        <f t="shared" si="15"/>
        <v>951.78153942672486</v>
      </c>
      <c r="AH11" s="187">
        <f t="shared" si="15"/>
        <v>918.8616899745216</v>
      </c>
      <c r="AI11" s="187">
        <f t="shared" si="15"/>
        <v>1046.7384873191829</v>
      </c>
      <c r="AJ11" s="187">
        <f t="shared" si="15"/>
        <v>965.64757312081701</v>
      </c>
      <c r="AK11" s="83"/>
      <c r="AL11" s="198">
        <v>2206.4936920752752</v>
      </c>
      <c r="AM11" s="187">
        <v>3350.3421773097753</v>
      </c>
      <c r="AN11" s="187">
        <f>SUM(W11:Z11)</f>
        <v>3571.7670475331674</v>
      </c>
      <c r="AO11" s="187">
        <f>SUM(AA11:AD11)</f>
        <v>3623.9053624070084</v>
      </c>
      <c r="AP11" s="187">
        <f>SUM(AE11:AH11)</f>
        <v>3829.4936955821531</v>
      </c>
    </row>
    <row r="12" spans="1:42" ht="15" customHeight="1">
      <c r="A12" s="5"/>
      <c r="B12" s="79" t="s">
        <v>96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>+AF6-AF9</f>
        <v>40.517038510000006</v>
      </c>
      <c r="AG12" s="187">
        <f>+AG6-AG9</f>
        <v>23.711410190000038</v>
      </c>
      <c r="AH12" s="187">
        <f>+AH6-AH9</f>
        <v>52.152605939999965</v>
      </c>
      <c r="AI12" s="187">
        <f>+AI6-AI9</f>
        <v>50.63101928999999</v>
      </c>
      <c r="AJ12" s="187">
        <f>+AJ6-AJ9</f>
        <v>54.267326129999994</v>
      </c>
      <c r="AK12" s="83"/>
      <c r="AL12" s="187">
        <v>159.12687384999998</v>
      </c>
      <c r="AM12" s="187">
        <v>190.00546144</v>
      </c>
      <c r="AN12" s="187">
        <f>SUM(W12:Z12)</f>
        <v>194.99558312000002</v>
      </c>
      <c r="AO12" s="187">
        <f>SUM(AA12:AD12)</f>
        <v>175.42303951</v>
      </c>
      <c r="AP12" s="187">
        <f>SUM(AE12:AH12)</f>
        <v>167.35533147000001</v>
      </c>
    </row>
    <row r="13" spans="1:42" ht="15" customHeight="1">
      <c r="A13" s="5"/>
      <c r="B13" s="196" t="s">
        <v>97</v>
      </c>
      <c r="C13" s="186" t="s">
        <v>340</v>
      </c>
      <c r="D13" s="186" t="s">
        <v>340</v>
      </c>
      <c r="E13" s="186" t="s">
        <v>340</v>
      </c>
      <c r="F13" s="186" t="s">
        <v>340</v>
      </c>
      <c r="G13" s="186" t="s">
        <v>340</v>
      </c>
      <c r="H13" s="186" t="s">
        <v>340</v>
      </c>
      <c r="I13" s="186" t="s">
        <v>340</v>
      </c>
      <c r="J13" s="186" t="s">
        <v>340</v>
      </c>
      <c r="K13" s="186" t="s">
        <v>340</v>
      </c>
      <c r="L13" s="186" t="s">
        <v>340</v>
      </c>
      <c r="M13" s="186" t="s">
        <v>340</v>
      </c>
      <c r="N13" s="186" t="s">
        <v>340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6">R12/R11</f>
        <v>0.16515680332330238</v>
      </c>
      <c r="S13" s="197">
        <f t="shared" si="16"/>
        <v>6.4912021506085382E-2</v>
      </c>
      <c r="T13" s="197">
        <f t="shared" si="16"/>
        <v>7.6152529524245199E-2</v>
      </c>
      <c r="U13" s="197">
        <f t="shared" si="16"/>
        <v>3.4466732331065501E-2</v>
      </c>
      <c r="V13" s="197">
        <f t="shared" si="16"/>
        <v>5.0665063133496967E-2</v>
      </c>
      <c r="W13" s="197">
        <f t="shared" si="16"/>
        <v>5.9814452899596117E-2</v>
      </c>
      <c r="X13" s="197">
        <f t="shared" si="16"/>
        <v>4.4798902723614878E-2</v>
      </c>
      <c r="Y13" s="197">
        <f t="shared" si="16"/>
        <v>5.9718621693532779E-2</v>
      </c>
      <c r="Z13" s="197">
        <f t="shared" si="16"/>
        <v>5.38430469792801E-2</v>
      </c>
      <c r="AA13" s="197">
        <f t="shared" si="16"/>
        <v>5.3920844219698727E-2</v>
      </c>
      <c r="AB13" s="197">
        <f t="shared" si="16"/>
        <v>6.3129279731111917E-2</v>
      </c>
      <c r="AC13" s="197">
        <f t="shared" si="16"/>
        <v>4.447236596480561E-2</v>
      </c>
      <c r="AD13" s="197">
        <f t="shared" si="16"/>
        <v>3.0420879822800603E-2</v>
      </c>
      <c r="AE13" s="197">
        <f t="shared" si="16"/>
        <v>5.1139997896930162E-2</v>
      </c>
      <c r="AF13" s="197">
        <f t="shared" ref="AF13:AG13" si="17">AF12/AF11</f>
        <v>4.2113519788166513E-2</v>
      </c>
      <c r="AG13" s="197">
        <f t="shared" si="17"/>
        <v>2.4912660319385736E-2</v>
      </c>
      <c r="AH13" s="197">
        <f t="shared" ref="AH13:AI13" si="18">AH12/AH11</f>
        <v>5.6757841260577598E-2</v>
      </c>
      <c r="AI13" s="197">
        <f t="shared" si="18"/>
        <v>4.8370266215845205E-2</v>
      </c>
      <c r="AJ13" s="197">
        <f t="shared" ref="AJ13" si="19">AJ12/AJ11</f>
        <v>5.6197858971070325E-2</v>
      </c>
      <c r="AK13" s="5"/>
      <c r="AL13" s="199">
        <v>7.2117529463832847E-2</v>
      </c>
      <c r="AM13" s="199">
        <v>5.6712255460595586E-2</v>
      </c>
      <c r="AN13" s="197">
        <f t="shared" ref="AN13" si="20">AN12/AN11</f>
        <v>5.4593589258480131E-2</v>
      </c>
      <c r="AO13" s="197">
        <f>IFERROR(AO12/AO11,0)</f>
        <v>4.8407180090785679E-2</v>
      </c>
      <c r="AP13" s="197">
        <f>IFERROR(AP12/AP11,0)</f>
        <v>4.3701686116644448E-2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N8:AN9 AN11" formulaRange="1"/>
    <ignoredError sqref="AO7" formula="1"/>
    <ignoredError sqref="AN10:AO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9"/>
  <sheetViews>
    <sheetView showGridLines="0" zoomScaleNormal="100" workbookViewId="0">
      <selection activeCell="C1" sqref="C1"/>
    </sheetView>
  </sheetViews>
  <sheetFormatPr defaultRowHeight="15" customHeight="1"/>
  <cols>
    <col min="1" max="1" width="1.7109375" customWidth="1"/>
    <col min="2" max="5" width="20.7109375" customWidth="1"/>
  </cols>
  <sheetData>
    <row r="1" spans="2:5" ht="18.75">
      <c r="B1" s="332" t="s">
        <v>377</v>
      </c>
    </row>
    <row r="2" spans="2:5">
      <c r="B2" s="280" t="s">
        <v>379</v>
      </c>
    </row>
    <row r="3" spans="2:5"/>
    <row r="4" spans="2:5">
      <c r="B4" s="175" t="s">
        <v>125</v>
      </c>
      <c r="C4" s="201"/>
      <c r="D4" s="201"/>
      <c r="E4" s="201"/>
    </row>
    <row r="5" spans="2:5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>
      <c r="B6" s="86">
        <v>41774</v>
      </c>
      <c r="C6" s="87">
        <v>2013</v>
      </c>
      <c r="D6" s="88">
        <v>9116243</v>
      </c>
      <c r="E6" s="89">
        <v>0.11</v>
      </c>
    </row>
    <row r="7" spans="2:5">
      <c r="B7" s="86">
        <v>42139</v>
      </c>
      <c r="C7" s="87">
        <v>2014</v>
      </c>
      <c r="D7" s="88">
        <v>39181048</v>
      </c>
      <c r="E7" s="89">
        <v>0.4728</v>
      </c>
    </row>
    <row r="8" spans="2:5">
      <c r="B8" s="86">
        <v>42506</v>
      </c>
      <c r="C8" s="87">
        <v>2015</v>
      </c>
      <c r="D8" s="88">
        <v>15254527.880000001</v>
      </c>
      <c r="E8" s="89">
        <v>0.1875</v>
      </c>
    </row>
    <row r="9" spans="2:5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>
      <c r="B17" s="86">
        <v>45525</v>
      </c>
      <c r="C17" s="87" t="s">
        <v>113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2024</v>
      </c>
      <c r="D18" s="88">
        <f>20222083.08</f>
        <v>20222083.079999998</v>
      </c>
      <c r="E18" s="89">
        <v>5.3539635189999997E-2</v>
      </c>
    </row>
    <row r="19" spans="2:5" ht="15" customHeight="1">
      <c r="B19" s="86">
        <v>46157</v>
      </c>
      <c r="C19" s="87">
        <v>2026</v>
      </c>
      <c r="D19" s="88">
        <v>29391752.41</v>
      </c>
      <c r="E19" s="89">
        <v>7.7784725730000004E-2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D2" sqref="D2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1" width="10.7109375" customWidth="1" outlineLevel="1"/>
    <col min="12" max="12" width="10.7109375" customWidth="1" outlineLevel="1" collapsed="1"/>
    <col min="13" max="17" width="10.7109375" customWidth="1"/>
    <col min="18" max="18" width="3.5703125" customWidth="1"/>
    <col min="19" max="25" width="10.7109375" customWidth="1" outlineLevel="1"/>
    <col min="26" max="26" width="10.7109375" customWidth="1" outlineLevel="1" collapsed="1"/>
    <col min="27" max="31" width="10.7109375" customWidth="1"/>
  </cols>
  <sheetData>
    <row r="1" spans="2:31" ht="18.75">
      <c r="B1" s="332" t="s">
        <v>378</v>
      </c>
    </row>
    <row r="2" spans="2:31">
      <c r="B2" s="280" t="s">
        <v>379</v>
      </c>
    </row>
    <row r="3" spans="2:31"/>
    <row r="4" spans="2:31">
      <c r="B4" s="381" t="s">
        <v>346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3"/>
      <c r="R4" s="353"/>
      <c r="S4" s="381" t="s">
        <v>347</v>
      </c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  <c r="AE4" s="383"/>
    </row>
    <row r="5" spans="2:31">
      <c r="B5" s="367" t="s">
        <v>202</v>
      </c>
      <c r="C5" s="368" t="s">
        <v>296</v>
      </c>
      <c r="D5" s="355" t="s">
        <v>262</v>
      </c>
      <c r="E5" s="369">
        <v>2020</v>
      </c>
      <c r="F5" s="369">
        <v>2021</v>
      </c>
      <c r="G5" s="369">
        <v>2022</v>
      </c>
      <c r="H5" s="369">
        <v>2023</v>
      </c>
      <c r="I5" s="369" t="s">
        <v>289</v>
      </c>
      <c r="J5" s="369" t="s">
        <v>293</v>
      </c>
      <c r="K5" s="369" t="s">
        <v>311</v>
      </c>
      <c r="L5" s="363">
        <v>2024</v>
      </c>
      <c r="M5" s="351">
        <v>2025</v>
      </c>
      <c r="N5" s="369" t="s">
        <v>297</v>
      </c>
      <c r="O5" s="369" t="s">
        <v>298</v>
      </c>
      <c r="P5" s="369" t="s">
        <v>299</v>
      </c>
      <c r="Q5" s="217" t="s">
        <v>300</v>
      </c>
      <c r="R5" s="354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4">
        <f t="shared" si="0"/>
        <v>2024</v>
      </c>
      <c r="AA5" s="216">
        <f t="shared" si="0"/>
        <v>2025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>
      <c r="B6" s="370" t="s">
        <v>200</v>
      </c>
      <c r="C6" t="s">
        <v>204</v>
      </c>
      <c r="D6" s="356" t="s">
        <v>263</v>
      </c>
      <c r="E6" s="289">
        <v>100</v>
      </c>
      <c r="F6" s="289">
        <v>100</v>
      </c>
      <c r="G6" s="289">
        <v>100</v>
      </c>
      <c r="H6" s="289">
        <v>100</v>
      </c>
      <c r="I6" s="289">
        <v>100</v>
      </c>
      <c r="J6" s="289">
        <v>100</v>
      </c>
      <c r="K6" s="289">
        <v>100</v>
      </c>
      <c r="L6" s="289">
        <v>100</v>
      </c>
      <c r="M6" s="291">
        <v>100</v>
      </c>
      <c r="N6" s="289">
        <v>100</v>
      </c>
      <c r="O6" s="289">
        <v>100</v>
      </c>
      <c r="P6" s="289">
        <v>100</v>
      </c>
      <c r="Q6" s="291">
        <v>100</v>
      </c>
      <c r="R6" s="354"/>
      <c r="S6" s="292">
        <f t="shared" ref="S6:AE6" si="1">(E6*6)+ROUNDDOWN(E6*6*10%,0)+ROUNDDOWN(E6*6*10%,0)</f>
        <v>720</v>
      </c>
      <c r="T6" s="293">
        <f t="shared" si="1"/>
        <v>720</v>
      </c>
      <c r="U6" s="293">
        <f t="shared" si="1"/>
        <v>720</v>
      </c>
      <c r="V6" s="293">
        <f t="shared" si="1"/>
        <v>720</v>
      </c>
      <c r="W6" s="293">
        <f t="shared" si="1"/>
        <v>720</v>
      </c>
      <c r="X6" s="293">
        <f t="shared" si="1"/>
        <v>720</v>
      </c>
      <c r="Y6" s="293">
        <f t="shared" si="1"/>
        <v>720</v>
      </c>
      <c r="Z6" s="293">
        <f t="shared" si="1"/>
        <v>720</v>
      </c>
      <c r="AA6" s="294">
        <f t="shared" si="1"/>
        <v>720</v>
      </c>
      <c r="AB6" s="295">
        <f t="shared" si="1"/>
        <v>720</v>
      </c>
      <c r="AC6" s="295">
        <f t="shared" si="1"/>
        <v>720</v>
      </c>
      <c r="AD6" s="295">
        <f t="shared" si="1"/>
        <v>720</v>
      </c>
      <c r="AE6" s="296">
        <f t="shared" si="1"/>
        <v>720</v>
      </c>
    </row>
    <row r="7" spans="2:31">
      <c r="B7" s="371" t="str">
        <f t="shared" ref="B7" si="2">B6</f>
        <v>UniBH</v>
      </c>
      <c r="C7" s="268" t="str">
        <f>C6</f>
        <v>Belo Horizonte/MG</v>
      </c>
      <c r="D7" s="357" t="s">
        <v>264</v>
      </c>
      <c r="E7" s="297">
        <v>60</v>
      </c>
      <c r="F7" s="298">
        <v>60</v>
      </c>
      <c r="G7" s="297">
        <v>60</v>
      </c>
      <c r="H7" s="297">
        <v>60</v>
      </c>
      <c r="I7" s="297">
        <v>60</v>
      </c>
      <c r="J7" s="297">
        <v>60</v>
      </c>
      <c r="K7" s="297">
        <v>60</v>
      </c>
      <c r="L7" s="297">
        <v>60</v>
      </c>
      <c r="M7" s="300">
        <v>60</v>
      </c>
      <c r="N7" s="297">
        <v>60</v>
      </c>
      <c r="O7" s="297">
        <v>60</v>
      </c>
      <c r="P7" s="297">
        <v>60</v>
      </c>
      <c r="Q7" s="300">
        <v>60</v>
      </c>
      <c r="R7" s="354"/>
      <c r="S7" s="299">
        <f>(E7*5)+ROUNDDOWN(E7*5*0.1,0)+ROUNDDOWN(E7*5*0.1,0)</f>
        <v>360</v>
      </c>
      <c r="T7" s="297">
        <f t="shared" ref="T7:AE7" si="3">(F7*6)+ROUNDDOWN(F7*6*0.1,0)+ROUNDDOWN(F7*6*0.1,0)</f>
        <v>432</v>
      </c>
      <c r="U7" s="297">
        <f t="shared" si="3"/>
        <v>432</v>
      </c>
      <c r="V7" s="297">
        <f t="shared" si="3"/>
        <v>432</v>
      </c>
      <c r="W7" s="297">
        <f t="shared" si="3"/>
        <v>432</v>
      </c>
      <c r="X7" s="297">
        <f t="shared" si="3"/>
        <v>432</v>
      </c>
      <c r="Y7" s="297">
        <f t="shared" si="3"/>
        <v>432</v>
      </c>
      <c r="Z7" s="297">
        <f t="shared" si="3"/>
        <v>432</v>
      </c>
      <c r="AA7" s="300">
        <f t="shared" si="3"/>
        <v>432</v>
      </c>
      <c r="AB7" s="301">
        <f t="shared" si="3"/>
        <v>432</v>
      </c>
      <c r="AC7" s="301">
        <f t="shared" si="3"/>
        <v>432</v>
      </c>
      <c r="AD7" s="301">
        <f t="shared" si="3"/>
        <v>432</v>
      </c>
      <c r="AE7" s="302">
        <f t="shared" si="3"/>
        <v>432</v>
      </c>
    </row>
    <row r="8" spans="2:31">
      <c r="B8" s="372" t="s">
        <v>205</v>
      </c>
      <c r="C8" s="303" t="s">
        <v>283</v>
      </c>
      <c r="D8" s="358" t="s">
        <v>263</v>
      </c>
      <c r="E8" s="293">
        <v>50</v>
      </c>
      <c r="F8" s="293">
        <v>50</v>
      </c>
      <c r="G8" s="293">
        <v>50</v>
      </c>
      <c r="H8" s="293">
        <v>50</v>
      </c>
      <c r="I8" s="293">
        <v>50</v>
      </c>
      <c r="J8" s="293">
        <v>50</v>
      </c>
      <c r="K8" s="293">
        <v>50</v>
      </c>
      <c r="L8" s="293">
        <v>50</v>
      </c>
      <c r="M8" s="294">
        <v>50</v>
      </c>
      <c r="N8" s="293">
        <v>50</v>
      </c>
      <c r="O8" s="293">
        <v>50</v>
      </c>
      <c r="P8" s="293">
        <v>50</v>
      </c>
      <c r="Q8" s="294">
        <v>50</v>
      </c>
      <c r="R8" s="354"/>
      <c r="S8" s="292">
        <f t="shared" ref="S8:AE8" si="4">(E8*6)+ROUNDDOWN(E8*6*10%,0)+ROUNDDOWN(E8*6*10%,0)</f>
        <v>360</v>
      </c>
      <c r="T8" s="293">
        <f t="shared" si="4"/>
        <v>360</v>
      </c>
      <c r="U8" s="293">
        <f t="shared" si="4"/>
        <v>360</v>
      </c>
      <c r="V8" s="293">
        <f t="shared" si="4"/>
        <v>360</v>
      </c>
      <c r="W8" s="293">
        <f t="shared" si="4"/>
        <v>360</v>
      </c>
      <c r="X8" s="293">
        <f t="shared" si="4"/>
        <v>360</v>
      </c>
      <c r="Y8" s="293">
        <f t="shared" si="4"/>
        <v>360</v>
      </c>
      <c r="Z8" s="293">
        <f t="shared" si="4"/>
        <v>360</v>
      </c>
      <c r="AA8" s="294">
        <f t="shared" si="4"/>
        <v>360</v>
      </c>
      <c r="AB8" s="295">
        <f t="shared" si="4"/>
        <v>360</v>
      </c>
      <c r="AC8" s="295">
        <f t="shared" si="4"/>
        <v>360</v>
      </c>
      <c r="AD8" s="295">
        <f t="shared" si="4"/>
        <v>360</v>
      </c>
      <c r="AE8" s="296">
        <f t="shared" si="4"/>
        <v>360</v>
      </c>
    </row>
    <row r="9" spans="2:31">
      <c r="B9" s="372" t="s">
        <v>265</v>
      </c>
      <c r="C9" s="303" t="s">
        <v>301</v>
      </c>
      <c r="D9" s="358" t="s">
        <v>263</v>
      </c>
      <c r="E9" s="293">
        <v>55</v>
      </c>
      <c r="F9" s="293">
        <v>55</v>
      </c>
      <c r="G9" s="304">
        <v>55</v>
      </c>
      <c r="H9" s="293">
        <v>55</v>
      </c>
      <c r="I9" s="293">
        <v>55</v>
      </c>
      <c r="J9" s="293">
        <v>55</v>
      </c>
      <c r="K9" s="293">
        <v>55</v>
      </c>
      <c r="L9" s="293">
        <v>55</v>
      </c>
      <c r="M9" s="294">
        <v>55</v>
      </c>
      <c r="N9" s="293">
        <v>55</v>
      </c>
      <c r="O9" s="293">
        <v>55</v>
      </c>
      <c r="P9" s="293">
        <v>55</v>
      </c>
      <c r="Q9" s="294">
        <v>55</v>
      </c>
      <c r="R9" s="354"/>
      <c r="S9" s="292">
        <f>(E9*4)+ROUNDDOWN(E9*4*10%,0)+ROUNDDOWN(E9*4*10%,0)</f>
        <v>264</v>
      </c>
      <c r="T9" s="293">
        <f>(F9*5)+ROUNDDOWN(F9*5*10%,0)+ROUNDDOWN(F9*5*10%,0)</f>
        <v>329</v>
      </c>
      <c r="U9" s="293">
        <f t="shared" ref="U9:AE9" si="5">(G9*6)+ROUNDDOWN(G9*6*10%,0)+ROUNDDOWN(G9*6*10%,0)</f>
        <v>396</v>
      </c>
      <c r="V9" s="293">
        <f t="shared" si="5"/>
        <v>396</v>
      </c>
      <c r="W9" s="293">
        <f t="shared" si="5"/>
        <v>396</v>
      </c>
      <c r="X9" s="293">
        <f t="shared" si="5"/>
        <v>396</v>
      </c>
      <c r="Y9" s="293">
        <f t="shared" si="5"/>
        <v>396</v>
      </c>
      <c r="Z9" s="293">
        <f t="shared" si="5"/>
        <v>396</v>
      </c>
      <c r="AA9" s="294">
        <f t="shared" si="5"/>
        <v>396</v>
      </c>
      <c r="AB9" s="295">
        <f t="shared" si="5"/>
        <v>396</v>
      </c>
      <c r="AC9" s="295">
        <f t="shared" si="5"/>
        <v>396</v>
      </c>
      <c r="AD9" s="295">
        <f t="shared" si="5"/>
        <v>396</v>
      </c>
      <c r="AE9" s="296">
        <f t="shared" si="5"/>
        <v>396</v>
      </c>
    </row>
    <row r="10" spans="2:31">
      <c r="B10" s="371" t="str">
        <f t="shared" ref="B10" si="6">B9</f>
        <v>AGES</v>
      </c>
      <c r="C10" s="268" t="str">
        <f>C9</f>
        <v>Jacobina/BA*</v>
      </c>
      <c r="D10" s="357" t="s">
        <v>264</v>
      </c>
      <c r="E10" s="297">
        <v>30</v>
      </c>
      <c r="F10" s="297">
        <v>30</v>
      </c>
      <c r="G10" s="297">
        <v>30</v>
      </c>
      <c r="H10" s="297">
        <v>30</v>
      </c>
      <c r="I10" s="298">
        <v>30</v>
      </c>
      <c r="J10" s="298">
        <v>30</v>
      </c>
      <c r="K10" s="298">
        <v>30</v>
      </c>
      <c r="L10" s="298">
        <v>30</v>
      </c>
      <c r="M10" s="300">
        <v>30</v>
      </c>
      <c r="N10" s="297">
        <v>30</v>
      </c>
      <c r="O10" s="297">
        <v>30</v>
      </c>
      <c r="P10" s="297">
        <v>30</v>
      </c>
      <c r="Q10" s="300">
        <v>30</v>
      </c>
      <c r="R10" s="354"/>
      <c r="S10" s="299">
        <f>(E10*2)+ROUNDDOWN(E10*2*10%,0)+ROUNDDOWN(E10*2*10%,0)</f>
        <v>72</v>
      </c>
      <c r="T10" s="297">
        <f>(F10*3)+ROUNDDOWN(F10*3*10%,0)+ROUNDDOWN(F10*3*10%,0)</f>
        <v>108</v>
      </c>
      <c r="U10" s="297">
        <f>(G10*4)+ROUNDDOWN(G10*4*10%,0)+ROUNDDOWN(G10*4*10%,0)</f>
        <v>144</v>
      </c>
      <c r="V10" s="297">
        <f>(H10*5)+ROUNDDOWN(H10*5*10%,0)+ROUNDDOWN(H10*5*10%,0)</f>
        <v>180</v>
      </c>
      <c r="W10" s="297">
        <f t="shared" ref="W10:AE10" si="7">(I10*6)+ROUNDDOWN(I10*6*10%,0)+ROUNDDOWN(I10*6*10%,0)</f>
        <v>216</v>
      </c>
      <c r="X10" s="297">
        <f t="shared" si="7"/>
        <v>216</v>
      </c>
      <c r="Y10" s="297">
        <f t="shared" si="7"/>
        <v>216</v>
      </c>
      <c r="Z10" s="297">
        <f t="shared" si="7"/>
        <v>216</v>
      </c>
      <c r="AA10" s="300">
        <f t="shared" si="7"/>
        <v>216</v>
      </c>
      <c r="AB10" s="301">
        <f t="shared" si="7"/>
        <v>216</v>
      </c>
      <c r="AC10" s="301">
        <f t="shared" si="7"/>
        <v>216</v>
      </c>
      <c r="AD10" s="301">
        <f t="shared" si="7"/>
        <v>216</v>
      </c>
      <c r="AE10" s="302">
        <f t="shared" si="7"/>
        <v>216</v>
      </c>
    </row>
    <row r="11" spans="2:31">
      <c r="B11" s="372" t="s">
        <v>265</v>
      </c>
      <c r="C11" s="303" t="s">
        <v>302</v>
      </c>
      <c r="D11" s="358" t="s">
        <v>263</v>
      </c>
      <c r="E11" s="293">
        <v>50</v>
      </c>
      <c r="F11" s="293">
        <v>50</v>
      </c>
      <c r="G11" s="293">
        <v>50</v>
      </c>
      <c r="H11" s="293">
        <v>50</v>
      </c>
      <c r="I11" s="293">
        <v>50</v>
      </c>
      <c r="J11" s="293">
        <v>50</v>
      </c>
      <c r="K11" s="293">
        <v>50</v>
      </c>
      <c r="L11" s="293">
        <v>50</v>
      </c>
      <c r="M11" s="364">
        <f>+M28++M3</f>
        <v>25</v>
      </c>
      <c r="N11" s="293">
        <v>50</v>
      </c>
      <c r="O11" s="293">
        <v>50</v>
      </c>
      <c r="P11" s="293">
        <v>50</v>
      </c>
      <c r="Q11" s="294">
        <v>50</v>
      </c>
      <c r="R11" s="354"/>
      <c r="S11" s="292">
        <f>(E11*1)+ROUNDDOWN(E11*1*10%,0)+ROUNDDOWN(E11*1*10%,0)</f>
        <v>60</v>
      </c>
      <c r="T11" s="293">
        <f>(F11*2)+ROUNDDOWN(F11*2*10%,0)+ROUNDDOWN(F11*2*10%,0)</f>
        <v>120</v>
      </c>
      <c r="U11" s="293">
        <f>(G11*3)+ROUNDDOWN(G11*3*10%,0)+ROUNDDOWN(G11*3*10%,0)</f>
        <v>180</v>
      </c>
      <c r="V11" s="293">
        <f>(H11*4)+ROUNDDOWN(H11*4*10%,0)+ROUNDDOWN(H11*4*10%,0)</f>
        <v>240</v>
      </c>
      <c r="W11" s="293">
        <f>(I11*5)+ROUNDDOWN(I11*5*10%,0)+ROUNDDOWN(I11*5*10%,0)</f>
        <v>300</v>
      </c>
      <c r="X11" s="293">
        <f>(J11*5)+ROUNDDOWN(J11*5*10%,0)+ROUNDDOWN(J11*5*10%,0)</f>
        <v>300</v>
      </c>
      <c r="Y11" s="293">
        <f>(K11*5)+ROUNDDOWN(K11*5*10%,0)+ROUNDDOWN(K11*5*10%,0)</f>
        <v>300</v>
      </c>
      <c r="Z11" s="293">
        <f>(L11*5)+ROUNDDOWN(L11*5*10%,0)+ROUNDDOWN(L11*5*10%,0)</f>
        <v>300</v>
      </c>
      <c r="AA11" s="294">
        <f>(M11*6)+ROUNDDOWN(M11*6*10%,0)+ROUNDDOWN(M11*6*10%,0)</f>
        <v>180</v>
      </c>
      <c r="AB11" s="295">
        <f>(N11*6)+ROUNDDOWN(N11*6*10%,0)+ROUNDDOWN(N11*6*10%,0)</f>
        <v>360</v>
      </c>
      <c r="AC11" s="295">
        <f>(O11*6)+ROUNDDOWN(O11*6*10%,0)+ROUNDDOWN(O11*6*10%,0)</f>
        <v>360</v>
      </c>
      <c r="AD11" s="295">
        <f>(P11*6)+ROUNDDOWN(P11*6*10%,0)+ROUNDDOWN(P11*6*10%,0)</f>
        <v>360</v>
      </c>
      <c r="AE11" s="296">
        <f>(Q11*6)+ROUNDDOWN(Q11*6*10%,0)+ROUNDDOWN(Q11*6*10%,0)</f>
        <v>360</v>
      </c>
    </row>
    <row r="12" spans="2:31">
      <c r="B12" s="371" t="str">
        <f t="shared" ref="B12" si="8">B11</f>
        <v>AGES</v>
      </c>
      <c r="C12" s="268" t="str">
        <f>C11</f>
        <v>Irecê/BA*</v>
      </c>
      <c r="D12" s="357" t="s">
        <v>264</v>
      </c>
      <c r="E12" s="297"/>
      <c r="F12" s="297"/>
      <c r="G12" s="297"/>
      <c r="H12" s="297"/>
      <c r="I12" s="297"/>
      <c r="J12" s="297"/>
      <c r="K12" s="297">
        <v>100</v>
      </c>
      <c r="L12" s="297">
        <v>100</v>
      </c>
      <c r="M12" s="300">
        <f t="shared" ref="M12:Q12" si="9">L12</f>
        <v>100</v>
      </c>
      <c r="N12" s="297">
        <f t="shared" si="9"/>
        <v>100</v>
      </c>
      <c r="O12" s="297">
        <f t="shared" si="9"/>
        <v>100</v>
      </c>
      <c r="P12" s="297">
        <f t="shared" si="9"/>
        <v>100</v>
      </c>
      <c r="Q12" s="305">
        <f t="shared" si="9"/>
        <v>100</v>
      </c>
      <c r="R12" s="354"/>
      <c r="S12" s="299"/>
      <c r="T12" s="297"/>
      <c r="U12" s="297"/>
      <c r="V12" s="297"/>
      <c r="W12" s="297"/>
      <c r="X12" s="297"/>
      <c r="Y12" s="297">
        <f>(K12*1)+ROUNDDOWN(K12*1*10%,0)+ROUNDDOWN(K12*1*10%,0)</f>
        <v>120</v>
      </c>
      <c r="Z12" s="297">
        <f>(L12*1)+ROUNDDOWN(L12*1*10%,0)+ROUNDDOWN(L12*1*10%,0)</f>
        <v>120</v>
      </c>
      <c r="AA12" s="300">
        <f>(M12*2)+ROUNDDOWN(M12*2*10%,0)+ROUNDDOWN(M12*2*10%,0)</f>
        <v>240</v>
      </c>
      <c r="AB12" s="301">
        <f>(N12*3)+ROUNDDOWN(N12*3*10%,0)+ROUNDDOWN(N12*3*10%,0)</f>
        <v>360</v>
      </c>
      <c r="AC12" s="301">
        <f>(O12*4)+ROUNDDOWN(O12*4*10%,0)+ROUNDDOWN(O12*4*10%,0)</f>
        <v>480</v>
      </c>
      <c r="AD12" s="301">
        <f>(P12*5)+ROUNDDOWN(P12*5*10%,0)+ROUNDDOWN(P12*5*10%,0)</f>
        <v>600</v>
      </c>
      <c r="AE12" s="302">
        <f>(Q12*6)+ROUNDDOWN(Q12*6*10%,0)+ROUNDDOWN(Q12*6*10%,0)</f>
        <v>720</v>
      </c>
    </row>
    <row r="13" spans="2:31">
      <c r="B13" s="372" t="s">
        <v>201</v>
      </c>
      <c r="C13" s="303" t="s">
        <v>206</v>
      </c>
      <c r="D13" s="358" t="s">
        <v>263</v>
      </c>
      <c r="E13" s="304">
        <v>64</v>
      </c>
      <c r="F13" s="293">
        <v>64</v>
      </c>
      <c r="G13" s="293">
        <v>64</v>
      </c>
      <c r="H13" s="293">
        <v>64</v>
      </c>
      <c r="I13" s="293">
        <v>64</v>
      </c>
      <c r="J13" s="293">
        <v>64</v>
      </c>
      <c r="K13" s="293">
        <v>64</v>
      </c>
      <c r="L13" s="293">
        <v>64</v>
      </c>
      <c r="M13" s="294">
        <v>64</v>
      </c>
      <c r="N13" s="293">
        <v>64</v>
      </c>
      <c r="O13" s="293">
        <v>64</v>
      </c>
      <c r="P13" s="293">
        <v>64</v>
      </c>
      <c r="Q13" s="294">
        <v>64</v>
      </c>
      <c r="R13" s="354"/>
      <c r="S13" s="292">
        <f t="shared" ref="S13:AD13" si="10">(E13*6)+ROUNDDOWN(E13*6*10%,0)+ROUNDDOWN(E13*6*10%,0)</f>
        <v>460</v>
      </c>
      <c r="T13" s="293">
        <f t="shared" si="10"/>
        <v>460</v>
      </c>
      <c r="U13" s="293">
        <f t="shared" si="10"/>
        <v>460</v>
      </c>
      <c r="V13" s="293">
        <f t="shared" si="10"/>
        <v>460</v>
      </c>
      <c r="W13" s="293">
        <f t="shared" si="10"/>
        <v>460</v>
      </c>
      <c r="X13" s="293">
        <f t="shared" si="10"/>
        <v>460</v>
      </c>
      <c r="Y13" s="293">
        <f t="shared" si="10"/>
        <v>460</v>
      </c>
      <c r="Z13" s="293">
        <f t="shared" si="10"/>
        <v>460</v>
      </c>
      <c r="AA13" s="294">
        <f t="shared" si="10"/>
        <v>460</v>
      </c>
      <c r="AB13" s="295">
        <f t="shared" si="10"/>
        <v>460</v>
      </c>
      <c r="AC13" s="295">
        <f t="shared" si="10"/>
        <v>460</v>
      </c>
      <c r="AD13" s="295">
        <f t="shared" si="10"/>
        <v>460</v>
      </c>
      <c r="AE13" s="296">
        <f>(Q13*6)+ROUNDDOWN(Q13*6*10%,0)+ROUNDDOWN(Q13*6*10%,0)</f>
        <v>460</v>
      </c>
    </row>
    <row r="14" spans="2:31">
      <c r="B14" s="371" t="str">
        <f t="shared" ref="B14" si="11">B13</f>
        <v>Faseh</v>
      </c>
      <c r="C14" s="268" t="str">
        <f>C13</f>
        <v>Vespasiano/MG</v>
      </c>
      <c r="D14" s="357" t="s">
        <v>264</v>
      </c>
      <c r="E14" s="297">
        <v>36</v>
      </c>
      <c r="F14" s="297">
        <v>36</v>
      </c>
      <c r="G14" s="298">
        <v>36</v>
      </c>
      <c r="H14" s="297">
        <v>36</v>
      </c>
      <c r="I14" s="297">
        <v>36</v>
      </c>
      <c r="J14" s="297">
        <v>36</v>
      </c>
      <c r="K14" s="297">
        <v>36</v>
      </c>
      <c r="L14" s="297">
        <v>36</v>
      </c>
      <c r="M14" s="300">
        <v>36</v>
      </c>
      <c r="N14" s="297">
        <v>36</v>
      </c>
      <c r="O14" s="297">
        <v>36</v>
      </c>
      <c r="P14" s="297">
        <v>36</v>
      </c>
      <c r="Q14" s="300">
        <v>36</v>
      </c>
      <c r="R14" s="354"/>
      <c r="S14" s="299">
        <f>(E14*4)+ROUNDDOWN(E14*4*10%,0)+ROUNDDOWN(E14*4*10%,0)</f>
        <v>172</v>
      </c>
      <c r="T14" s="297">
        <f>(F14*5)+ROUNDDOWN(F14*5*10%,0)+ROUNDDOWN(F14*5*10%,0)</f>
        <v>216</v>
      </c>
      <c r="U14" s="297">
        <f t="shared" ref="U14:Z14" si="12">(G14*6)+ROUNDDOWN(G14*6*10%,0)+ROUNDDOWN(G14*6*10%,0)+2</f>
        <v>260</v>
      </c>
      <c r="V14" s="297">
        <f t="shared" si="12"/>
        <v>260</v>
      </c>
      <c r="W14" s="297">
        <f t="shared" si="12"/>
        <v>260</v>
      </c>
      <c r="X14" s="297">
        <f t="shared" si="12"/>
        <v>260</v>
      </c>
      <c r="Y14" s="297">
        <f t="shared" si="12"/>
        <v>260</v>
      </c>
      <c r="Z14" s="297">
        <f t="shared" si="12"/>
        <v>260</v>
      </c>
      <c r="AA14" s="300">
        <v>260</v>
      </c>
      <c r="AB14" s="301">
        <v>260</v>
      </c>
      <c r="AC14" s="301">
        <v>260</v>
      </c>
      <c r="AD14" s="301">
        <v>260</v>
      </c>
      <c r="AE14" s="302">
        <v>260</v>
      </c>
    </row>
    <row r="15" spans="2:31">
      <c r="B15" s="373" t="s">
        <v>207</v>
      </c>
      <c r="C15" s="306" t="s">
        <v>208</v>
      </c>
      <c r="D15" s="359" t="s">
        <v>263</v>
      </c>
      <c r="E15" s="307">
        <v>50</v>
      </c>
      <c r="F15" s="308">
        <v>50</v>
      </c>
      <c r="G15" s="308">
        <v>50</v>
      </c>
      <c r="H15" s="308">
        <v>50</v>
      </c>
      <c r="I15" s="308">
        <v>50</v>
      </c>
      <c r="J15" s="308">
        <v>50</v>
      </c>
      <c r="K15" s="308">
        <v>50</v>
      </c>
      <c r="L15" s="308">
        <v>50</v>
      </c>
      <c r="M15" s="310">
        <v>50</v>
      </c>
      <c r="N15" s="308">
        <v>50</v>
      </c>
      <c r="O15" s="308">
        <v>50</v>
      </c>
      <c r="P15" s="308">
        <v>50</v>
      </c>
      <c r="Q15" s="310">
        <v>50</v>
      </c>
      <c r="R15" s="354"/>
      <c r="S15" s="309">
        <f t="shared" ref="S15:AE15" si="13">(E15*6)+ROUNDDOWN(E15*6*10%,0)+ROUNDDOWN(E15*6*10%,0)</f>
        <v>360</v>
      </c>
      <c r="T15" s="308">
        <f t="shared" si="13"/>
        <v>360</v>
      </c>
      <c r="U15" s="308">
        <f t="shared" si="13"/>
        <v>360</v>
      </c>
      <c r="V15" s="308">
        <f t="shared" si="13"/>
        <v>360</v>
      </c>
      <c r="W15" s="308">
        <f t="shared" si="13"/>
        <v>360</v>
      </c>
      <c r="X15" s="308">
        <f t="shared" si="13"/>
        <v>360</v>
      </c>
      <c r="Y15" s="308">
        <f t="shared" si="13"/>
        <v>360</v>
      </c>
      <c r="Z15" s="308">
        <f t="shared" si="13"/>
        <v>360</v>
      </c>
      <c r="AA15" s="310">
        <f t="shared" si="13"/>
        <v>360</v>
      </c>
      <c r="AB15" s="311">
        <f t="shared" si="13"/>
        <v>360</v>
      </c>
      <c r="AC15" s="311">
        <f t="shared" si="13"/>
        <v>360</v>
      </c>
      <c r="AD15" s="311">
        <f t="shared" si="13"/>
        <v>360</v>
      </c>
      <c r="AE15" s="312">
        <f t="shared" si="13"/>
        <v>360</v>
      </c>
    </row>
    <row r="16" spans="2:31">
      <c r="B16" s="373" t="s">
        <v>239</v>
      </c>
      <c r="C16" s="306" t="s">
        <v>240</v>
      </c>
      <c r="D16" s="359" t="s">
        <v>263</v>
      </c>
      <c r="E16" s="308"/>
      <c r="F16" s="308">
        <v>127</v>
      </c>
      <c r="G16" s="308">
        <v>127</v>
      </c>
      <c r="H16" s="307">
        <v>127</v>
      </c>
      <c r="I16" s="308">
        <v>127</v>
      </c>
      <c r="J16" s="308">
        <v>127</v>
      </c>
      <c r="K16" s="308">
        <v>127</v>
      </c>
      <c r="L16" s="308">
        <v>127</v>
      </c>
      <c r="M16" s="310">
        <v>127</v>
      </c>
      <c r="N16" s="308">
        <v>127</v>
      </c>
      <c r="O16" s="308">
        <v>127</v>
      </c>
      <c r="P16" s="308">
        <v>127</v>
      </c>
      <c r="Q16" s="310">
        <v>127</v>
      </c>
      <c r="R16" s="354"/>
      <c r="S16" s="309"/>
      <c r="T16" s="308">
        <f>(F16*4)+ROUNDDOWN(F16*4*10%,0)+ROUNDDOWN(F16*4*10%,0)</f>
        <v>608</v>
      </c>
      <c r="U16" s="308">
        <f>(G16*5)+ROUNDDOWN(G16*5*10%,0)+ROUNDDOWN(G16*5*10%,0)</f>
        <v>761</v>
      </c>
      <c r="V16" s="308">
        <f t="shared" ref="V16:V27" si="14">(H16*6)+ROUNDDOWN(H16*6*10%,0)+ROUNDDOWN(H16*6*10%,0)</f>
        <v>914</v>
      </c>
      <c r="W16" s="308">
        <f t="shared" ref="W16:X27" si="15">(I16*6)+ROUNDDOWN(I16*6*10%,0)+ROUNDDOWN(I16*6*10%,0)</f>
        <v>914</v>
      </c>
      <c r="X16" s="308">
        <f t="shared" si="15"/>
        <v>914</v>
      </c>
      <c r="Y16" s="308">
        <f t="shared" ref="Y16:Y27" si="16">(K16*6)+ROUNDDOWN(K16*6*10%,0)+ROUNDDOWN(K16*6*10%,0)</f>
        <v>914</v>
      </c>
      <c r="Z16" s="308">
        <f t="shared" ref="Z16:Z27" si="17">(L16*6)+ROUNDDOWN(L16*6*10%,0)+ROUNDDOWN(L16*6*10%,0)</f>
        <v>914</v>
      </c>
      <c r="AA16" s="310">
        <f t="shared" ref="AA16:AA27" si="18">(M16*6)+ROUNDDOWN(M16*6*10%,0)+ROUNDDOWN(M16*6*10%,0)</f>
        <v>914</v>
      </c>
      <c r="AB16" s="311">
        <f t="shared" ref="AB16:AB27" si="19">(N16*6)+ROUNDDOWN(N16*6*10%,0)+ROUNDDOWN(N16*6*10%,0)</f>
        <v>914</v>
      </c>
      <c r="AC16" s="311">
        <f t="shared" ref="AC16:AC27" si="20">(O16*6)+ROUNDDOWN(O16*6*10%,0)+ROUNDDOWN(O16*6*10%,0)</f>
        <v>914</v>
      </c>
      <c r="AD16" s="311">
        <f t="shared" ref="AD16:AD27" si="21">(P16*6)+ROUNDDOWN(P16*6*10%,0)+ROUNDDOWN(P16*6*10%,0)</f>
        <v>914</v>
      </c>
      <c r="AE16" s="312">
        <f t="shared" ref="AE16:AE27" si="22">(Q16*6)+ROUNDDOWN(Q16*6*10%,0)+ROUNDDOWN(Q16*6*10%,0)</f>
        <v>914</v>
      </c>
    </row>
    <row r="17" spans="2:31">
      <c r="B17" s="373" t="s">
        <v>239</v>
      </c>
      <c r="C17" s="306" t="s">
        <v>241</v>
      </c>
      <c r="D17" s="359" t="s">
        <v>263</v>
      </c>
      <c r="E17" s="308"/>
      <c r="F17" s="307">
        <v>160</v>
      </c>
      <c r="G17" s="308">
        <v>160</v>
      </c>
      <c r="H17" s="308">
        <v>160</v>
      </c>
      <c r="I17" s="308">
        <v>160</v>
      </c>
      <c r="J17" s="308">
        <v>160</v>
      </c>
      <c r="K17" s="308">
        <v>160</v>
      </c>
      <c r="L17" s="308">
        <v>160</v>
      </c>
      <c r="M17" s="310">
        <v>160</v>
      </c>
      <c r="N17" s="308">
        <v>160</v>
      </c>
      <c r="O17" s="308">
        <v>160</v>
      </c>
      <c r="P17" s="308">
        <v>160</v>
      </c>
      <c r="Q17" s="310">
        <v>160</v>
      </c>
      <c r="R17" s="354"/>
      <c r="S17" s="309"/>
      <c r="T17" s="308">
        <f t="shared" ref="T17:U19" si="23">(F17*6)+ROUNDDOWN(F17*6*10%,0)+ROUNDDOWN(F17*6*10%,0)</f>
        <v>1152</v>
      </c>
      <c r="U17" s="308">
        <f t="shared" si="23"/>
        <v>1152</v>
      </c>
      <c r="V17" s="308">
        <f t="shared" si="14"/>
        <v>1152</v>
      </c>
      <c r="W17" s="308">
        <f t="shared" si="15"/>
        <v>1152</v>
      </c>
      <c r="X17" s="308">
        <f t="shared" si="15"/>
        <v>1152</v>
      </c>
      <c r="Y17" s="308">
        <f t="shared" si="16"/>
        <v>1152</v>
      </c>
      <c r="Z17" s="308">
        <f t="shared" si="17"/>
        <v>1152</v>
      </c>
      <c r="AA17" s="310">
        <f t="shared" si="18"/>
        <v>1152</v>
      </c>
      <c r="AB17" s="311">
        <f t="shared" si="19"/>
        <v>1152</v>
      </c>
      <c r="AC17" s="311">
        <f t="shared" si="20"/>
        <v>1152</v>
      </c>
      <c r="AD17" s="311">
        <f t="shared" si="21"/>
        <v>1152</v>
      </c>
      <c r="AE17" s="312">
        <f t="shared" si="22"/>
        <v>1152</v>
      </c>
    </row>
    <row r="18" spans="2:31">
      <c r="B18" s="372" t="s">
        <v>209</v>
      </c>
      <c r="C18" s="303" t="s">
        <v>210</v>
      </c>
      <c r="D18" s="358" t="s">
        <v>263</v>
      </c>
      <c r="E18" s="293"/>
      <c r="F18" s="304">
        <v>100</v>
      </c>
      <c r="G18" s="293">
        <v>100</v>
      </c>
      <c r="H18" s="293">
        <v>100</v>
      </c>
      <c r="I18" s="293">
        <v>100</v>
      </c>
      <c r="J18" s="293">
        <v>100</v>
      </c>
      <c r="K18" s="293">
        <v>100</v>
      </c>
      <c r="L18" s="293">
        <v>100</v>
      </c>
      <c r="M18" s="294">
        <v>100</v>
      </c>
      <c r="N18" s="293">
        <v>100</v>
      </c>
      <c r="O18" s="293">
        <v>100</v>
      </c>
      <c r="P18" s="293">
        <v>100</v>
      </c>
      <c r="Q18" s="294">
        <v>100</v>
      </c>
      <c r="R18" s="354"/>
      <c r="S18" s="292"/>
      <c r="T18" s="293">
        <f t="shared" si="23"/>
        <v>720</v>
      </c>
      <c r="U18" s="293">
        <f t="shared" si="23"/>
        <v>720</v>
      </c>
      <c r="V18" s="293">
        <f t="shared" si="14"/>
        <v>720</v>
      </c>
      <c r="W18" s="293">
        <f t="shared" si="15"/>
        <v>720</v>
      </c>
      <c r="X18" s="293">
        <f t="shared" si="15"/>
        <v>720</v>
      </c>
      <c r="Y18" s="293">
        <f t="shared" si="16"/>
        <v>720</v>
      </c>
      <c r="Z18" s="293">
        <f t="shared" si="17"/>
        <v>720</v>
      </c>
      <c r="AA18" s="294">
        <f t="shared" si="18"/>
        <v>720</v>
      </c>
      <c r="AB18" s="295">
        <f t="shared" si="19"/>
        <v>720</v>
      </c>
      <c r="AC18" s="295">
        <f t="shared" si="20"/>
        <v>720</v>
      </c>
      <c r="AD18" s="295">
        <f t="shared" si="21"/>
        <v>720</v>
      </c>
      <c r="AE18" s="296">
        <f t="shared" si="22"/>
        <v>720</v>
      </c>
    </row>
    <row r="19" spans="2:31">
      <c r="B19" s="374" t="str">
        <f t="shared" ref="B19:B20" si="24">B18</f>
        <v>UNIFACS</v>
      </c>
      <c r="C19" s="375" t="str">
        <f>C18</f>
        <v>Salvador/BA</v>
      </c>
      <c r="D19" s="356" t="s">
        <v>266</v>
      </c>
      <c r="E19" s="289"/>
      <c r="F19" s="376">
        <v>50</v>
      </c>
      <c r="G19" s="289">
        <v>50</v>
      </c>
      <c r="H19" s="289">
        <v>50</v>
      </c>
      <c r="I19" s="289">
        <v>50</v>
      </c>
      <c r="J19" s="289">
        <v>50</v>
      </c>
      <c r="K19" s="289">
        <v>50</v>
      </c>
      <c r="L19" s="289">
        <v>50</v>
      </c>
      <c r="M19" s="291">
        <v>50</v>
      </c>
      <c r="N19" s="289">
        <v>50</v>
      </c>
      <c r="O19" s="289">
        <v>50</v>
      </c>
      <c r="P19" s="289">
        <v>50</v>
      </c>
      <c r="Q19" s="291">
        <v>50</v>
      </c>
      <c r="R19" s="354"/>
      <c r="S19" s="290"/>
      <c r="T19" s="289">
        <f t="shared" si="23"/>
        <v>360</v>
      </c>
      <c r="U19" s="289">
        <f t="shared" si="23"/>
        <v>360</v>
      </c>
      <c r="V19" s="289">
        <f t="shared" si="14"/>
        <v>360</v>
      </c>
      <c r="W19" s="289">
        <f t="shared" si="15"/>
        <v>360</v>
      </c>
      <c r="X19" s="289">
        <f t="shared" si="15"/>
        <v>360</v>
      </c>
      <c r="Y19" s="289">
        <f t="shared" si="16"/>
        <v>360</v>
      </c>
      <c r="Z19" s="289">
        <f t="shared" si="17"/>
        <v>360</v>
      </c>
      <c r="AA19" s="291">
        <f t="shared" si="18"/>
        <v>360</v>
      </c>
      <c r="AB19" s="313">
        <f t="shared" si="19"/>
        <v>360</v>
      </c>
      <c r="AC19" s="313">
        <f t="shared" si="20"/>
        <v>360</v>
      </c>
      <c r="AD19" s="313">
        <f t="shared" si="21"/>
        <v>360</v>
      </c>
      <c r="AE19" s="314">
        <f t="shared" si="22"/>
        <v>360</v>
      </c>
    </row>
    <row r="20" spans="2:31">
      <c r="B20" s="371" t="str">
        <f t="shared" si="24"/>
        <v>UNIFACS</v>
      </c>
      <c r="C20" s="268" t="str">
        <f>C19</f>
        <v>Salvador/BA</v>
      </c>
      <c r="D20" s="357" t="s">
        <v>267</v>
      </c>
      <c r="E20" s="297"/>
      <c r="F20" s="297">
        <v>120</v>
      </c>
      <c r="G20" s="298">
        <v>120</v>
      </c>
      <c r="H20" s="297">
        <v>120</v>
      </c>
      <c r="I20" s="297">
        <v>120</v>
      </c>
      <c r="J20" s="297">
        <v>120</v>
      </c>
      <c r="K20" s="297">
        <v>120</v>
      </c>
      <c r="L20" s="297">
        <v>120</v>
      </c>
      <c r="M20" s="300">
        <v>120</v>
      </c>
      <c r="N20" s="297">
        <v>120</v>
      </c>
      <c r="O20" s="297">
        <v>120</v>
      </c>
      <c r="P20" s="297">
        <v>120</v>
      </c>
      <c r="Q20" s="300">
        <v>120</v>
      </c>
      <c r="R20" s="354"/>
      <c r="S20" s="299"/>
      <c r="T20" s="297">
        <f>(F20*5)+ROUNDDOWN(F20*5*10%,0)+ROUNDDOWN(F20*5*10%,0)</f>
        <v>720</v>
      </c>
      <c r="U20" s="297">
        <f t="shared" ref="U20:U26" si="25">(G20*6)+ROUNDDOWN(G20*6*10%,0)+ROUNDDOWN(G20*6*10%,0)</f>
        <v>864</v>
      </c>
      <c r="V20" s="297">
        <f t="shared" si="14"/>
        <v>864</v>
      </c>
      <c r="W20" s="297">
        <f t="shared" si="15"/>
        <v>864</v>
      </c>
      <c r="X20" s="297">
        <f t="shared" si="15"/>
        <v>864</v>
      </c>
      <c r="Y20" s="297">
        <f t="shared" si="16"/>
        <v>864</v>
      </c>
      <c r="Z20" s="297">
        <f t="shared" si="17"/>
        <v>864</v>
      </c>
      <c r="AA20" s="300">
        <f t="shared" si="18"/>
        <v>864</v>
      </c>
      <c r="AB20" s="301">
        <f t="shared" si="19"/>
        <v>864</v>
      </c>
      <c r="AC20" s="301">
        <f t="shared" si="20"/>
        <v>864</v>
      </c>
      <c r="AD20" s="301">
        <f t="shared" si="21"/>
        <v>864</v>
      </c>
      <c r="AE20" s="302">
        <f t="shared" si="22"/>
        <v>864</v>
      </c>
    </row>
    <row r="21" spans="2:31">
      <c r="B21" s="372" t="s">
        <v>211</v>
      </c>
      <c r="C21" s="303" t="s">
        <v>212</v>
      </c>
      <c r="D21" s="358" t="s">
        <v>263</v>
      </c>
      <c r="E21" s="293"/>
      <c r="F21" s="304">
        <v>120</v>
      </c>
      <c r="G21" s="293">
        <v>120</v>
      </c>
      <c r="H21" s="293">
        <v>120</v>
      </c>
      <c r="I21" s="293">
        <v>120</v>
      </c>
      <c r="J21" s="293">
        <v>120</v>
      </c>
      <c r="K21" s="293">
        <v>120</v>
      </c>
      <c r="L21" s="293">
        <v>120</v>
      </c>
      <c r="M21" s="294">
        <v>120</v>
      </c>
      <c r="N21" s="293">
        <v>120</v>
      </c>
      <c r="O21" s="293">
        <v>120</v>
      </c>
      <c r="P21" s="293">
        <v>120</v>
      </c>
      <c r="Q21" s="294">
        <v>120</v>
      </c>
      <c r="R21" s="354"/>
      <c r="S21" s="292"/>
      <c r="T21" s="293">
        <f t="shared" ref="T21:T26" si="26">(F21*6)+ROUNDDOWN(F21*6*10%,0)+ROUNDDOWN(F21*6*10%,0)</f>
        <v>864</v>
      </c>
      <c r="U21" s="293">
        <f t="shared" si="25"/>
        <v>864</v>
      </c>
      <c r="V21" s="293">
        <f t="shared" si="14"/>
        <v>864</v>
      </c>
      <c r="W21" s="293">
        <f t="shared" si="15"/>
        <v>864</v>
      </c>
      <c r="X21" s="293">
        <f t="shared" si="15"/>
        <v>864</v>
      </c>
      <c r="Y21" s="293">
        <f t="shared" si="16"/>
        <v>864</v>
      </c>
      <c r="Z21" s="293">
        <f t="shared" si="17"/>
        <v>864</v>
      </c>
      <c r="AA21" s="294">
        <f t="shared" si="18"/>
        <v>864</v>
      </c>
      <c r="AB21" s="295">
        <f t="shared" si="19"/>
        <v>864</v>
      </c>
      <c r="AC21" s="295">
        <f t="shared" si="20"/>
        <v>864</v>
      </c>
      <c r="AD21" s="295">
        <f t="shared" si="21"/>
        <v>864</v>
      </c>
      <c r="AE21" s="296">
        <f t="shared" si="22"/>
        <v>864</v>
      </c>
    </row>
    <row r="22" spans="2:31">
      <c r="B22" s="374" t="str">
        <f t="shared" ref="B22:C23" si="27">B21</f>
        <v>UNP</v>
      </c>
      <c r="C22" s="375" t="str">
        <f t="shared" si="27"/>
        <v>Natal/RN</v>
      </c>
      <c r="D22" s="356" t="s">
        <v>266</v>
      </c>
      <c r="E22" s="289"/>
      <c r="F22" s="376">
        <v>17</v>
      </c>
      <c r="G22" s="289">
        <v>17</v>
      </c>
      <c r="H22" s="289">
        <v>17</v>
      </c>
      <c r="I22" s="289">
        <v>17</v>
      </c>
      <c r="J22" s="289">
        <v>17</v>
      </c>
      <c r="K22" s="289">
        <v>17</v>
      </c>
      <c r="L22" s="289">
        <v>17</v>
      </c>
      <c r="M22" s="291">
        <v>17</v>
      </c>
      <c r="N22" s="289">
        <v>17</v>
      </c>
      <c r="O22" s="289">
        <v>17</v>
      </c>
      <c r="P22" s="289">
        <v>17</v>
      </c>
      <c r="Q22" s="291">
        <v>17</v>
      </c>
      <c r="R22" s="354"/>
      <c r="S22" s="290"/>
      <c r="T22" s="289">
        <f t="shared" si="26"/>
        <v>122</v>
      </c>
      <c r="U22" s="289">
        <f t="shared" si="25"/>
        <v>122</v>
      </c>
      <c r="V22" s="289">
        <f t="shared" si="14"/>
        <v>122</v>
      </c>
      <c r="W22" s="289">
        <f t="shared" si="15"/>
        <v>122</v>
      </c>
      <c r="X22" s="289">
        <f t="shared" si="15"/>
        <v>122</v>
      </c>
      <c r="Y22" s="289">
        <f t="shared" si="16"/>
        <v>122</v>
      </c>
      <c r="Z22" s="289">
        <f t="shared" si="17"/>
        <v>122</v>
      </c>
      <c r="AA22" s="291">
        <f t="shared" si="18"/>
        <v>122</v>
      </c>
      <c r="AB22" s="313">
        <f t="shared" si="19"/>
        <v>122</v>
      </c>
      <c r="AC22" s="313">
        <f t="shared" si="20"/>
        <v>122</v>
      </c>
      <c r="AD22" s="313">
        <f t="shared" si="21"/>
        <v>122</v>
      </c>
      <c r="AE22" s="314">
        <f t="shared" si="22"/>
        <v>122</v>
      </c>
    </row>
    <row r="23" spans="2:31">
      <c r="B23" s="371" t="str">
        <f t="shared" si="27"/>
        <v>UNP</v>
      </c>
      <c r="C23" s="268" t="str">
        <f t="shared" si="27"/>
        <v>Natal/RN</v>
      </c>
      <c r="D23" s="357" t="s">
        <v>267</v>
      </c>
      <c r="E23" s="297"/>
      <c r="F23" s="298">
        <v>55</v>
      </c>
      <c r="G23" s="297">
        <v>55</v>
      </c>
      <c r="H23" s="297">
        <v>55</v>
      </c>
      <c r="I23" s="297">
        <v>55</v>
      </c>
      <c r="J23" s="297">
        <v>55</v>
      </c>
      <c r="K23" s="297">
        <v>55</v>
      </c>
      <c r="L23" s="297">
        <v>55</v>
      </c>
      <c r="M23" s="300">
        <v>55</v>
      </c>
      <c r="N23" s="297">
        <v>55</v>
      </c>
      <c r="O23" s="297">
        <v>55</v>
      </c>
      <c r="P23" s="297">
        <v>55</v>
      </c>
      <c r="Q23" s="300">
        <v>55</v>
      </c>
      <c r="R23" s="354"/>
      <c r="S23" s="299"/>
      <c r="T23" s="297">
        <f t="shared" si="26"/>
        <v>396</v>
      </c>
      <c r="U23" s="297">
        <f t="shared" si="25"/>
        <v>396</v>
      </c>
      <c r="V23" s="297">
        <f t="shared" si="14"/>
        <v>396</v>
      </c>
      <c r="W23" s="297">
        <f t="shared" si="15"/>
        <v>396</v>
      </c>
      <c r="X23" s="297">
        <f t="shared" si="15"/>
        <v>396</v>
      </c>
      <c r="Y23" s="297">
        <f t="shared" si="16"/>
        <v>396</v>
      </c>
      <c r="Z23" s="297">
        <f t="shared" si="17"/>
        <v>396</v>
      </c>
      <c r="AA23" s="300">
        <f t="shared" si="18"/>
        <v>396</v>
      </c>
      <c r="AB23" s="301">
        <f t="shared" si="19"/>
        <v>396</v>
      </c>
      <c r="AC23" s="301">
        <f t="shared" si="20"/>
        <v>396</v>
      </c>
      <c r="AD23" s="301">
        <f t="shared" si="21"/>
        <v>396</v>
      </c>
      <c r="AE23" s="302">
        <f t="shared" si="22"/>
        <v>396</v>
      </c>
    </row>
    <row r="24" spans="2:31">
      <c r="B24" s="372" t="s">
        <v>213</v>
      </c>
      <c r="C24" s="303" t="s">
        <v>268</v>
      </c>
      <c r="D24" s="358" t="s">
        <v>263</v>
      </c>
      <c r="E24" s="293"/>
      <c r="F24" s="304">
        <v>100</v>
      </c>
      <c r="G24" s="293">
        <v>100</v>
      </c>
      <c r="H24" s="293">
        <v>100</v>
      </c>
      <c r="I24" s="293">
        <v>100</v>
      </c>
      <c r="J24" s="293">
        <v>100</v>
      </c>
      <c r="K24" s="293">
        <v>100</v>
      </c>
      <c r="L24" s="293">
        <v>100</v>
      </c>
      <c r="M24" s="294">
        <v>100</v>
      </c>
      <c r="N24" s="293">
        <v>100</v>
      </c>
      <c r="O24" s="293">
        <v>100</v>
      </c>
      <c r="P24" s="293">
        <v>100</v>
      </c>
      <c r="Q24" s="294">
        <v>100</v>
      </c>
      <c r="R24" s="354"/>
      <c r="S24" s="292"/>
      <c r="T24" s="293">
        <f t="shared" si="26"/>
        <v>720</v>
      </c>
      <c r="U24" s="293">
        <f t="shared" si="25"/>
        <v>720</v>
      </c>
      <c r="V24" s="293">
        <f t="shared" si="14"/>
        <v>720</v>
      </c>
      <c r="W24" s="293">
        <f t="shared" si="15"/>
        <v>720</v>
      </c>
      <c r="X24" s="293">
        <f t="shared" si="15"/>
        <v>720</v>
      </c>
      <c r="Y24" s="293">
        <f t="shared" si="16"/>
        <v>720</v>
      </c>
      <c r="Z24" s="293">
        <f t="shared" si="17"/>
        <v>720</v>
      </c>
      <c r="AA24" s="294">
        <f t="shared" si="18"/>
        <v>720</v>
      </c>
      <c r="AB24" s="295">
        <f t="shared" si="19"/>
        <v>720</v>
      </c>
      <c r="AC24" s="295">
        <f t="shared" si="20"/>
        <v>720</v>
      </c>
      <c r="AD24" s="295">
        <f t="shared" si="21"/>
        <v>720</v>
      </c>
      <c r="AE24" s="296">
        <f t="shared" si="22"/>
        <v>720</v>
      </c>
    </row>
    <row r="25" spans="2:31">
      <c r="B25" s="374" t="str">
        <f t="shared" ref="B25:C26" si="28">B24</f>
        <v>UAM</v>
      </c>
      <c r="C25" s="375" t="str">
        <f t="shared" si="28"/>
        <v>São Paulo/SP</v>
      </c>
      <c r="D25" s="356" t="s">
        <v>266</v>
      </c>
      <c r="E25" s="289"/>
      <c r="F25" s="376">
        <v>30</v>
      </c>
      <c r="G25" s="289">
        <v>30</v>
      </c>
      <c r="H25" s="289">
        <v>30</v>
      </c>
      <c r="I25" s="289">
        <v>30</v>
      </c>
      <c r="J25" s="289">
        <v>30</v>
      </c>
      <c r="K25" s="289">
        <v>30</v>
      </c>
      <c r="L25" s="289">
        <v>30</v>
      </c>
      <c r="M25" s="291">
        <v>30</v>
      </c>
      <c r="N25" s="289">
        <v>30</v>
      </c>
      <c r="O25" s="289">
        <v>30</v>
      </c>
      <c r="P25" s="289">
        <v>30</v>
      </c>
      <c r="Q25" s="291">
        <v>30</v>
      </c>
      <c r="R25" s="354"/>
      <c r="S25" s="290"/>
      <c r="T25" s="289">
        <f t="shared" si="26"/>
        <v>216</v>
      </c>
      <c r="U25" s="289">
        <f t="shared" si="25"/>
        <v>216</v>
      </c>
      <c r="V25" s="289">
        <f t="shared" si="14"/>
        <v>216</v>
      </c>
      <c r="W25" s="289">
        <f t="shared" si="15"/>
        <v>216</v>
      </c>
      <c r="X25" s="289">
        <f t="shared" si="15"/>
        <v>216</v>
      </c>
      <c r="Y25" s="289">
        <f t="shared" si="16"/>
        <v>216</v>
      </c>
      <c r="Z25" s="289">
        <f t="shared" si="17"/>
        <v>216</v>
      </c>
      <c r="AA25" s="291">
        <f t="shared" si="18"/>
        <v>216</v>
      </c>
      <c r="AB25" s="313">
        <f t="shared" si="19"/>
        <v>216</v>
      </c>
      <c r="AC25" s="313">
        <f t="shared" si="20"/>
        <v>216</v>
      </c>
      <c r="AD25" s="313">
        <f t="shared" si="21"/>
        <v>216</v>
      </c>
      <c r="AE25" s="314">
        <f t="shared" si="22"/>
        <v>216</v>
      </c>
    </row>
    <row r="26" spans="2:31">
      <c r="B26" s="371" t="str">
        <f t="shared" si="28"/>
        <v>UAM</v>
      </c>
      <c r="C26" s="268" t="str">
        <f t="shared" si="28"/>
        <v>São Paulo/SP</v>
      </c>
      <c r="D26" s="357" t="s">
        <v>267</v>
      </c>
      <c r="E26" s="297"/>
      <c r="F26" s="298">
        <v>65</v>
      </c>
      <c r="G26" s="297">
        <v>65</v>
      </c>
      <c r="H26" s="297">
        <v>65</v>
      </c>
      <c r="I26" s="297">
        <v>65</v>
      </c>
      <c r="J26" s="297">
        <v>65</v>
      </c>
      <c r="K26" s="297">
        <v>65</v>
      </c>
      <c r="L26" s="297">
        <v>65</v>
      </c>
      <c r="M26" s="300">
        <v>65</v>
      </c>
      <c r="N26" s="297">
        <v>65</v>
      </c>
      <c r="O26" s="297">
        <v>65</v>
      </c>
      <c r="P26" s="297">
        <v>65</v>
      </c>
      <c r="Q26" s="300">
        <v>65</v>
      </c>
      <c r="R26" s="354"/>
      <c r="S26" s="299"/>
      <c r="T26" s="297">
        <f t="shared" si="26"/>
        <v>468</v>
      </c>
      <c r="U26" s="297">
        <f t="shared" si="25"/>
        <v>468</v>
      </c>
      <c r="V26" s="297">
        <f t="shared" si="14"/>
        <v>468</v>
      </c>
      <c r="W26" s="297">
        <f t="shared" si="15"/>
        <v>468</v>
      </c>
      <c r="X26" s="297">
        <f t="shared" si="15"/>
        <v>468</v>
      </c>
      <c r="Y26" s="297">
        <f t="shared" si="16"/>
        <v>468</v>
      </c>
      <c r="Z26" s="297">
        <f t="shared" si="17"/>
        <v>468</v>
      </c>
      <c r="AA26" s="300">
        <f t="shared" si="18"/>
        <v>468</v>
      </c>
      <c r="AB26" s="301">
        <f t="shared" si="19"/>
        <v>468</v>
      </c>
      <c r="AC26" s="301">
        <f t="shared" si="20"/>
        <v>468</v>
      </c>
      <c r="AD26" s="301">
        <f t="shared" si="21"/>
        <v>468</v>
      </c>
      <c r="AE26" s="302">
        <f t="shared" si="22"/>
        <v>468</v>
      </c>
    </row>
    <row r="27" spans="2:31">
      <c r="B27" s="372" t="s">
        <v>213</v>
      </c>
      <c r="C27" s="303" t="s">
        <v>303</v>
      </c>
      <c r="D27" s="358" t="s">
        <v>263</v>
      </c>
      <c r="E27" s="293"/>
      <c r="F27" s="293">
        <v>75</v>
      </c>
      <c r="G27" s="293">
        <v>75</v>
      </c>
      <c r="H27" s="304">
        <v>75</v>
      </c>
      <c r="I27" s="293">
        <v>75</v>
      </c>
      <c r="J27" s="293">
        <v>75</v>
      </c>
      <c r="K27" s="293">
        <v>75</v>
      </c>
      <c r="L27" s="293">
        <v>75</v>
      </c>
      <c r="M27" s="294">
        <v>75</v>
      </c>
      <c r="N27" s="293">
        <v>75</v>
      </c>
      <c r="O27" s="293">
        <v>75</v>
      </c>
      <c r="P27" s="293">
        <v>75</v>
      </c>
      <c r="Q27" s="294">
        <v>75</v>
      </c>
      <c r="R27" s="354"/>
      <c r="S27" s="292"/>
      <c r="T27" s="293">
        <f>(F27*4)+ROUNDDOWN(F27*4*10%,0)+ROUNDDOWN(F27*4*10%,0)</f>
        <v>360</v>
      </c>
      <c r="U27" s="293">
        <f>(G27*5)+ROUNDDOWN(G27*5*10%,0)+ROUNDDOWN(G27*5*10%,0)</f>
        <v>449</v>
      </c>
      <c r="V27" s="293">
        <f t="shared" si="14"/>
        <v>540</v>
      </c>
      <c r="W27" s="293">
        <f t="shared" si="15"/>
        <v>540</v>
      </c>
      <c r="X27" s="293">
        <f t="shared" si="15"/>
        <v>540</v>
      </c>
      <c r="Y27" s="293">
        <f t="shared" si="16"/>
        <v>540</v>
      </c>
      <c r="Z27" s="293">
        <f t="shared" si="17"/>
        <v>540</v>
      </c>
      <c r="AA27" s="294">
        <f t="shared" si="18"/>
        <v>540</v>
      </c>
      <c r="AB27" s="295">
        <f t="shared" si="19"/>
        <v>540</v>
      </c>
      <c r="AC27" s="295">
        <f t="shared" si="20"/>
        <v>540</v>
      </c>
      <c r="AD27" s="295">
        <f t="shared" si="21"/>
        <v>540</v>
      </c>
      <c r="AE27" s="296">
        <f t="shared" si="22"/>
        <v>540</v>
      </c>
    </row>
    <row r="28" spans="2:31">
      <c r="B28" s="374" t="str">
        <f t="shared" ref="B28:C29" si="29">B27</f>
        <v>UAM</v>
      </c>
      <c r="C28" s="375" t="str">
        <f t="shared" si="29"/>
        <v>Piracicaba/SP*</v>
      </c>
      <c r="D28" s="356" t="s">
        <v>266</v>
      </c>
      <c r="E28" s="289"/>
      <c r="F28" s="289">
        <v>25</v>
      </c>
      <c r="G28" s="289">
        <v>25</v>
      </c>
      <c r="H28" s="289">
        <v>25</v>
      </c>
      <c r="I28" s="289">
        <v>25</v>
      </c>
      <c r="J28" s="289">
        <v>25</v>
      </c>
      <c r="K28" s="289">
        <v>25</v>
      </c>
      <c r="L28" s="289">
        <v>25</v>
      </c>
      <c r="M28" s="365">
        <v>25</v>
      </c>
      <c r="N28" s="289">
        <v>25</v>
      </c>
      <c r="O28" s="289">
        <v>25</v>
      </c>
      <c r="P28" s="289">
        <v>25</v>
      </c>
      <c r="Q28" s="291">
        <v>25</v>
      </c>
      <c r="R28" s="354"/>
      <c r="S28" s="290"/>
      <c r="T28" s="289">
        <f>(F28*2)+ROUNDDOWN(F28*2*10%,0)+ROUNDDOWN(F28*2*10%,0)</f>
        <v>60</v>
      </c>
      <c r="U28" s="289">
        <f>(G28*3)+ROUNDDOWN(G28*3*10%,0)+ROUNDDOWN(G28*3*10%,0)</f>
        <v>89</v>
      </c>
      <c r="V28" s="289">
        <f>(H28*4)+ROUNDDOWN(H28*4*10%,0)+ROUNDDOWN(H28*4*10%,0)</f>
        <v>120</v>
      </c>
      <c r="W28" s="289">
        <f>(I28*5)+ROUNDDOWN(I28*5*10%,0)+ROUNDDOWN(I28*5*10%,0)</f>
        <v>149</v>
      </c>
      <c r="X28" s="289">
        <f>(J28*5)+ROUNDDOWN(J28*5*10%,0)+ROUNDDOWN(J28*5*10%,0)</f>
        <v>149</v>
      </c>
      <c r="Y28" s="289">
        <f>(K28*5)+ROUNDDOWN(K28*5*10%,0)+ROUNDDOWN(K28*5*10%,0)</f>
        <v>149</v>
      </c>
      <c r="Z28" s="289">
        <f>(L28*5)+ROUNDDOWN(L28*5*10%,0)+ROUNDDOWN(L28*5*10%,0)</f>
        <v>149</v>
      </c>
      <c r="AA28" s="291">
        <f>(M28*6)+ROUNDDOWN(M28*6*10%,0)+ROUNDDOWN(M28*6*10%,0)</f>
        <v>180</v>
      </c>
      <c r="AB28" s="313">
        <f>(N28*6)+ROUNDDOWN(N28*6*10%,0)+ROUNDDOWN(N28*6*10%,0)</f>
        <v>180</v>
      </c>
      <c r="AC28" s="313">
        <f>(O28*6)+ROUNDDOWN(O28*6*10%,0)+ROUNDDOWN(O28*6*10%,0)</f>
        <v>180</v>
      </c>
      <c r="AD28" s="313">
        <f>(P28*6)+ROUNDDOWN(P28*6*10%,0)+ROUNDDOWN(P28*6*10%,0)</f>
        <v>180</v>
      </c>
      <c r="AE28" s="314">
        <f>(Q28*6)+ROUNDDOWN(Q28*6*10%,0)+ROUNDDOWN(Q28*6*10%,0)</f>
        <v>180</v>
      </c>
    </row>
    <row r="29" spans="2:31">
      <c r="B29" s="371" t="str">
        <f t="shared" si="29"/>
        <v>UAM</v>
      </c>
      <c r="C29" s="268" t="str">
        <f t="shared" si="29"/>
        <v>Piracicaba/SP*</v>
      </c>
      <c r="D29" s="357" t="s">
        <v>267</v>
      </c>
      <c r="E29" s="297"/>
      <c r="F29" s="297"/>
      <c r="G29" s="297">
        <v>13</v>
      </c>
      <c r="H29" s="297">
        <v>13</v>
      </c>
      <c r="I29" s="297">
        <v>13</v>
      </c>
      <c r="J29" s="297">
        <v>13</v>
      </c>
      <c r="K29" s="297">
        <v>13</v>
      </c>
      <c r="L29" s="297">
        <v>13</v>
      </c>
      <c r="M29" s="300">
        <v>13</v>
      </c>
      <c r="N29" s="297">
        <v>13</v>
      </c>
      <c r="O29" s="298">
        <v>13</v>
      </c>
      <c r="P29" s="297">
        <v>13</v>
      </c>
      <c r="Q29" s="300">
        <v>13</v>
      </c>
      <c r="R29" s="354"/>
      <c r="S29" s="299"/>
      <c r="T29" s="297"/>
      <c r="U29" s="297">
        <f>(G29*1)+ROUND(G29*1*10%,0)+ROUND(G29*1*10%,0)</f>
        <v>15</v>
      </c>
      <c r="V29" s="297">
        <f>(H29*2)+ROUNDDOWN(H29*2*10%,0)+ROUNDDOWN(H29*2*10%,0)</f>
        <v>30</v>
      </c>
      <c r="W29" s="297">
        <f>(I29*3)+ROUNDDOWN(I29*3*10%,0)+ROUNDDOWN(I29*3*10%,0)</f>
        <v>45</v>
      </c>
      <c r="X29" s="297">
        <f>(J29*3)+ROUNDDOWN(J29*3*10%,0)+ROUNDDOWN(J29*3*10%,0)</f>
        <v>45</v>
      </c>
      <c r="Y29" s="297">
        <f>(K29*3)+ROUNDDOWN(K29*3*10%,0)+ROUNDDOWN(K29*3*10%,0)</f>
        <v>45</v>
      </c>
      <c r="Z29" s="297">
        <f>(L29*3)+ROUNDDOWN(L29*3*10%,0)+ROUNDDOWN(L29*3*10%,0)</f>
        <v>45</v>
      </c>
      <c r="AA29" s="300">
        <f>(M29*4)+ROUNDDOWN(M29*4*10%,0)+ROUNDDOWN(M29*4*10%,0)</f>
        <v>62</v>
      </c>
      <c r="AB29" s="301">
        <f>(N29*5)+ROUNDDOWN(N29*5*10%,0)+ROUNDDOWN(N29*5*10%,0)</f>
        <v>77</v>
      </c>
      <c r="AC29" s="301">
        <f t="shared" ref="AC29:AE32" si="30">(O29*6)+ROUNDDOWN(O29*6*10%,0)+ROUNDDOWN(O29*6*10%,0)</f>
        <v>92</v>
      </c>
      <c r="AD29" s="301">
        <f t="shared" si="30"/>
        <v>92</v>
      </c>
      <c r="AE29" s="302">
        <f t="shared" si="30"/>
        <v>92</v>
      </c>
    </row>
    <row r="30" spans="2:31">
      <c r="B30" s="372" t="s">
        <v>213</v>
      </c>
      <c r="C30" s="303" t="s">
        <v>304</v>
      </c>
      <c r="D30" s="358" t="s">
        <v>263</v>
      </c>
      <c r="E30" s="293"/>
      <c r="F30" s="293">
        <v>100</v>
      </c>
      <c r="G30" s="293">
        <v>100</v>
      </c>
      <c r="H30" s="304">
        <v>100</v>
      </c>
      <c r="I30" s="293">
        <v>100</v>
      </c>
      <c r="J30" s="293">
        <v>100</v>
      </c>
      <c r="K30" s="293">
        <v>100</v>
      </c>
      <c r="L30" s="293">
        <v>100</v>
      </c>
      <c r="M30" s="294">
        <v>100</v>
      </c>
      <c r="N30" s="293">
        <v>100</v>
      </c>
      <c r="O30" s="293">
        <v>100</v>
      </c>
      <c r="P30" s="293">
        <v>100</v>
      </c>
      <c r="Q30" s="294">
        <v>100</v>
      </c>
      <c r="R30" s="354"/>
      <c r="S30" s="292"/>
      <c r="T30" s="293">
        <f>(F30*4)+ROUNDDOWN(F30*4*10%,0)+ROUNDDOWN(F30*4*10%,0)</f>
        <v>480</v>
      </c>
      <c r="U30" s="293">
        <f>(G30*5)+ROUNDDOWN(G30*5*10%,0)+ROUNDDOWN(G30*5*10%,0)</f>
        <v>600</v>
      </c>
      <c r="V30" s="293">
        <f t="shared" ref="V30:AB30" si="31">(H30*6)+ROUNDDOWN(H30*6*10%,0)+ROUNDDOWN(H30*6*10%,0)</f>
        <v>720</v>
      </c>
      <c r="W30" s="293">
        <f t="shared" si="31"/>
        <v>720</v>
      </c>
      <c r="X30" s="293">
        <f t="shared" si="31"/>
        <v>720</v>
      </c>
      <c r="Y30" s="293">
        <f t="shared" si="31"/>
        <v>720</v>
      </c>
      <c r="Z30" s="293">
        <f t="shared" si="31"/>
        <v>720</v>
      </c>
      <c r="AA30" s="294">
        <f t="shared" si="31"/>
        <v>720</v>
      </c>
      <c r="AB30" s="295">
        <f t="shared" si="31"/>
        <v>720</v>
      </c>
      <c r="AC30" s="295">
        <f t="shared" si="30"/>
        <v>720</v>
      </c>
      <c r="AD30" s="295">
        <f t="shared" si="30"/>
        <v>720</v>
      </c>
      <c r="AE30" s="296">
        <f t="shared" si="30"/>
        <v>720</v>
      </c>
    </row>
    <row r="31" spans="2:31">
      <c r="B31" s="371" t="str">
        <f t="shared" ref="B31:C31" si="32">B30</f>
        <v>UAM</v>
      </c>
      <c r="C31" s="268" t="str">
        <f t="shared" si="32"/>
        <v>São José dos Campos/SP*</v>
      </c>
      <c r="D31" s="357" t="s">
        <v>264</v>
      </c>
      <c r="E31" s="297"/>
      <c r="F31" s="297">
        <v>40</v>
      </c>
      <c r="G31" s="297">
        <v>40</v>
      </c>
      <c r="H31" s="297">
        <v>40</v>
      </c>
      <c r="I31" s="297">
        <v>40</v>
      </c>
      <c r="J31" s="297">
        <v>40</v>
      </c>
      <c r="K31" s="297">
        <v>40</v>
      </c>
      <c r="L31" s="297">
        <v>40</v>
      </c>
      <c r="M31" s="305">
        <v>40</v>
      </c>
      <c r="N31" s="297">
        <v>40</v>
      </c>
      <c r="O31" s="297">
        <v>40</v>
      </c>
      <c r="P31" s="297">
        <v>40</v>
      </c>
      <c r="Q31" s="300">
        <v>40</v>
      </c>
      <c r="R31" s="354"/>
      <c r="S31" s="299"/>
      <c r="T31" s="297">
        <f>(F31*2)+ROUNDDOWN(F31*2*10%,0)+ROUNDDOWN(F31*2*10%,0)</f>
        <v>96</v>
      </c>
      <c r="U31" s="297">
        <f>(G31*3)+ROUNDDOWN(G31*3*10%,0)+ROUNDDOWN(G31*3*10%,0)</f>
        <v>144</v>
      </c>
      <c r="V31" s="297">
        <f>(H31*4)+ROUNDDOWN(H31*4*10%,0)+ROUNDDOWN(H31*4*10%,0)</f>
        <v>192</v>
      </c>
      <c r="W31" s="297">
        <f>(I31*5)+ROUNDDOWN(I31*5*10%,0)+ROUNDDOWN(I31*5*10%,0)</f>
        <v>240</v>
      </c>
      <c r="X31" s="297">
        <f>(J31*5)+ROUNDDOWN(J31*5*10%,0)+ROUNDDOWN(J31*5*10%,0)</f>
        <v>240</v>
      </c>
      <c r="Y31" s="297">
        <f>(K31*5)+ROUNDDOWN(K31*5*10%,0)+ROUNDDOWN(K31*5*10%,0)</f>
        <v>240</v>
      </c>
      <c r="Z31" s="297">
        <f>(L31*5)+ROUNDDOWN(L31*5*10%,0)+ROUNDDOWN(L31*5*10%,0)</f>
        <v>240</v>
      </c>
      <c r="AA31" s="300">
        <f>(M31*6)+ROUNDDOWN(M31*6*10%,0)+ROUNDDOWN(M31*6*10%,0)</f>
        <v>288</v>
      </c>
      <c r="AB31" s="301">
        <f>(N31*6)+ROUNDDOWN(N31*6*10%,0)+ROUNDDOWN(N31*6*10%,0)</f>
        <v>288</v>
      </c>
      <c r="AC31" s="301">
        <f t="shared" si="30"/>
        <v>288</v>
      </c>
      <c r="AD31" s="301">
        <f t="shared" si="30"/>
        <v>288</v>
      </c>
      <c r="AE31" s="302">
        <f t="shared" si="30"/>
        <v>288</v>
      </c>
    </row>
    <row r="32" spans="2:31">
      <c r="B32" s="372" t="s">
        <v>207</v>
      </c>
      <c r="C32" s="303" t="s">
        <v>284</v>
      </c>
      <c r="D32" s="358" t="s">
        <v>263</v>
      </c>
      <c r="E32" s="293"/>
      <c r="F32" s="293">
        <v>50</v>
      </c>
      <c r="G32" s="293">
        <v>50</v>
      </c>
      <c r="H32" s="293">
        <v>50</v>
      </c>
      <c r="I32" s="293">
        <v>50</v>
      </c>
      <c r="J32" s="293">
        <v>50</v>
      </c>
      <c r="K32" s="293">
        <v>50</v>
      </c>
      <c r="L32" s="293">
        <v>50</v>
      </c>
      <c r="M32" s="294">
        <v>50</v>
      </c>
      <c r="N32" s="293">
        <v>50</v>
      </c>
      <c r="O32" s="304">
        <v>50</v>
      </c>
      <c r="P32" s="293">
        <v>50</v>
      </c>
      <c r="Q32" s="294">
        <v>50</v>
      </c>
      <c r="R32" s="354"/>
      <c r="S32" s="292"/>
      <c r="T32" s="293">
        <f>(F32*1)+ROUNDDOWN(F32*1*10%,0)+ROUNDDOWN(F32*1*10%,0)</f>
        <v>60</v>
      </c>
      <c r="U32" s="293">
        <f>(G32*2)+ROUNDDOWN(G32*2*10%,0)+ROUNDDOWN(G32*2*10%,0)</f>
        <v>120</v>
      </c>
      <c r="V32" s="293">
        <f>(H32*3)+ROUNDDOWN(H32*3*10%,0)+ROUNDDOWN(H32*3*10%,0)</f>
        <v>180</v>
      </c>
      <c r="W32" s="293">
        <f>(I32*4)+ROUNDDOWN(I32*4*10%,0)+ROUNDDOWN(I32*4*10%,0)</f>
        <v>240</v>
      </c>
      <c r="X32" s="293">
        <f>(J32*4)+ROUNDDOWN(J32*4*10%,0)+ROUNDDOWN(J32*4*10%,0)</f>
        <v>240</v>
      </c>
      <c r="Y32" s="308">
        <f>(K32*4)+ROUNDDOWN(K32*4*10%,0)+ROUNDDOWN(K32*4*10%,0)</f>
        <v>240</v>
      </c>
      <c r="Z32" s="308">
        <f>(L32*4)+ROUNDDOWN(L32*4*10%,0)+ROUNDDOWN(L32*4*10%,0)</f>
        <v>240</v>
      </c>
      <c r="AA32" s="310">
        <f>(M32*5)+ROUNDDOWN(M32*5*10%,0)+ROUNDDOWN(M32*5*10%,0)</f>
        <v>300</v>
      </c>
      <c r="AB32" s="295">
        <f>(N32*6)+ROUNDDOWN(N32*6*10%,0)+ROUNDDOWN(N32*6*10%,0)</f>
        <v>360</v>
      </c>
      <c r="AC32" s="295">
        <f t="shared" si="30"/>
        <v>360</v>
      </c>
      <c r="AD32" s="295">
        <f t="shared" si="30"/>
        <v>360</v>
      </c>
      <c r="AE32" s="296">
        <f t="shared" si="30"/>
        <v>360</v>
      </c>
    </row>
    <row r="33" spans="2:31">
      <c r="B33" s="373" t="s">
        <v>269</v>
      </c>
      <c r="C33" s="306" t="s">
        <v>290</v>
      </c>
      <c r="D33" s="359" t="s">
        <v>263</v>
      </c>
      <c r="E33" s="308"/>
      <c r="F33" s="308"/>
      <c r="G33" s="308"/>
      <c r="H33" s="308"/>
      <c r="I33" s="308"/>
      <c r="J33" s="308"/>
      <c r="K33" s="308">
        <v>50</v>
      </c>
      <c r="L33" s="308">
        <v>50</v>
      </c>
      <c r="M33" s="377">
        <v>50</v>
      </c>
      <c r="N33" s="378">
        <v>50</v>
      </c>
      <c r="O33" s="378">
        <v>50</v>
      </c>
      <c r="P33" s="378">
        <v>50</v>
      </c>
      <c r="Q33" s="315">
        <v>50</v>
      </c>
      <c r="R33" s="354"/>
      <c r="S33" s="309"/>
      <c r="T33" s="308"/>
      <c r="U33" s="308"/>
      <c r="V33" s="308"/>
      <c r="W33" s="308"/>
      <c r="X33" s="308"/>
      <c r="Y33" s="297">
        <f>(K33*1)+ROUNDDOWN(K33*1*10%,0)+ROUNDDOWN(K33*1*10%,0)</f>
        <v>60</v>
      </c>
      <c r="Z33" s="297">
        <f>(L33*1)+ROUNDDOWN(L33*1*10%,0)+ROUNDDOWN(L33*1*10%,0)</f>
        <v>60</v>
      </c>
      <c r="AA33" s="300">
        <f>(M33*2)+ROUNDDOWN(M33*2*10%,0)+ROUNDDOWN(M33*2*10%,0)</f>
        <v>120</v>
      </c>
      <c r="AB33" s="295">
        <f>(N33*3)+ROUNDDOWN(N33*3*10%,0)+ROUNDDOWN(N33*3*10%,0)</f>
        <v>180</v>
      </c>
      <c r="AC33" s="295">
        <f>(O33*4)+ROUNDDOWN(O33*4*10%,0)+ROUNDDOWN(O33*4*10%,0)</f>
        <v>240</v>
      </c>
      <c r="AD33" s="295">
        <f>(P33*5)+ROUNDDOWN(P33*5*10%,0)+ROUNDDOWN(P33*5*10%,0)</f>
        <v>300</v>
      </c>
      <c r="AE33" s="296">
        <f>(Q33*6)+ROUNDDOWN(Q33*6*10%,0)+ROUNDDOWN(Q33*6*10%,0)</f>
        <v>360</v>
      </c>
    </row>
    <row r="34" spans="2:31">
      <c r="B34" s="269"/>
      <c r="C34" s="269" t="s">
        <v>203</v>
      </c>
      <c r="D34" s="360"/>
      <c r="E34" s="270">
        <f t="shared" ref="E34:Q34" si="33">SUM(E6:E33)</f>
        <v>495</v>
      </c>
      <c r="F34" s="270">
        <f t="shared" si="33"/>
        <v>1729</v>
      </c>
      <c r="G34" s="270">
        <f t="shared" si="33"/>
        <v>1742</v>
      </c>
      <c r="H34" s="271">
        <f t="shared" si="33"/>
        <v>1742</v>
      </c>
      <c r="I34" s="271">
        <f>SUM(I6:I33)</f>
        <v>1742</v>
      </c>
      <c r="J34" s="271">
        <f>SUM(J6:J33)</f>
        <v>1742</v>
      </c>
      <c r="K34" s="271">
        <f>SUM(K6:K33)</f>
        <v>1892</v>
      </c>
      <c r="L34" s="271">
        <f t="shared" si="33"/>
        <v>1892</v>
      </c>
      <c r="M34" s="352">
        <f>SUM(M6:M33)</f>
        <v>1867</v>
      </c>
      <c r="N34" s="272">
        <f>SUM(N6:N33)</f>
        <v>1892</v>
      </c>
      <c r="O34" s="272">
        <f t="shared" si="33"/>
        <v>1892</v>
      </c>
      <c r="P34" s="272">
        <f t="shared" si="33"/>
        <v>1892</v>
      </c>
      <c r="Q34" s="273">
        <f t="shared" si="33"/>
        <v>1892</v>
      </c>
      <c r="R34" s="354"/>
      <c r="S34" s="361">
        <f t="shared" ref="S34:AD34" si="34">SUM(S6:S33)</f>
        <v>2828</v>
      </c>
      <c r="T34" s="270">
        <f t="shared" si="34"/>
        <v>10507</v>
      </c>
      <c r="U34" s="270">
        <f>SUM(U6:U33)</f>
        <v>11372</v>
      </c>
      <c r="V34" s="270">
        <f t="shared" si="34"/>
        <v>11986</v>
      </c>
      <c r="W34" s="270">
        <f t="shared" ref="W34" si="35">SUM(W6:W33)</f>
        <v>12234</v>
      </c>
      <c r="X34" s="270">
        <f t="shared" si="34"/>
        <v>12234</v>
      </c>
      <c r="Y34" s="270">
        <f t="shared" si="34"/>
        <v>12414</v>
      </c>
      <c r="Z34" s="270">
        <f t="shared" si="34"/>
        <v>12414</v>
      </c>
      <c r="AA34" s="274">
        <f t="shared" si="34"/>
        <v>12630</v>
      </c>
      <c r="AB34" s="272">
        <f t="shared" si="34"/>
        <v>13065</v>
      </c>
      <c r="AC34" s="272">
        <f t="shared" si="34"/>
        <v>13260</v>
      </c>
      <c r="AD34" s="272">
        <f t="shared" si="34"/>
        <v>13440</v>
      </c>
      <c r="AE34" s="273">
        <f>SUM(AE6:AE33)</f>
        <v>13620</v>
      </c>
    </row>
    <row r="35" spans="2:31">
      <c r="L35" s="316"/>
      <c r="S35" s="289"/>
      <c r="T35" s="289"/>
      <c r="U35" s="289"/>
      <c r="V35" s="289"/>
      <c r="W35" s="289"/>
      <c r="X35" s="275"/>
      <c r="Y35" s="275"/>
      <c r="Z35" s="289"/>
      <c r="AA35" s="366"/>
      <c r="AB35" s="289"/>
      <c r="AC35" s="289"/>
      <c r="AD35" s="289"/>
      <c r="AE35" s="289"/>
    </row>
    <row r="37" spans="2:31">
      <c r="B37" s="317"/>
      <c r="C37" t="s">
        <v>294</v>
      </c>
      <c r="D37" s="288"/>
      <c r="M37" s="316"/>
      <c r="Q37" s="316"/>
      <c r="V37" s="316"/>
      <c r="W37" s="316"/>
      <c r="X37" s="276"/>
      <c r="Y37" s="277"/>
      <c r="Z37" s="350"/>
    </row>
    <row r="38" spans="2:31">
      <c r="B38" s="318"/>
      <c r="C38" t="s">
        <v>295</v>
      </c>
      <c r="D38" s="288"/>
      <c r="M38" s="316"/>
      <c r="Q38" s="316"/>
      <c r="V38" s="316"/>
      <c r="W38" s="316"/>
      <c r="X38" s="276"/>
      <c r="Y38" s="277"/>
      <c r="Z38" s="276"/>
    </row>
    <row r="39" spans="2:31">
      <c r="B39" s="278" t="s">
        <v>285</v>
      </c>
      <c r="C39" t="s">
        <v>305</v>
      </c>
      <c r="V39" s="279"/>
      <c r="W39" s="279"/>
      <c r="X39" s="279"/>
      <c r="Y39" s="279"/>
      <c r="Z39" s="72"/>
      <c r="AE39" s="316"/>
    </row>
    <row r="40" spans="2:31">
      <c r="B40" s="278" t="s">
        <v>306</v>
      </c>
      <c r="C40" t="s">
        <v>307</v>
      </c>
      <c r="X40" s="72"/>
      <c r="Y40" s="279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3 S34:T34 V34" formula="1"/>
    <ignoredError sqref="L34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>
      <c r="B1" s="91" t="s">
        <v>258</v>
      </c>
    </row>
    <row r="2" spans="2:18">
      <c r="B2" s="2" t="s">
        <v>148</v>
      </c>
    </row>
    <row r="3" spans="2:18"/>
    <row r="4" spans="2:18">
      <c r="B4" s="85" t="s">
        <v>217</v>
      </c>
      <c r="C4" s="384" t="s">
        <v>192</v>
      </c>
      <c r="D4" s="384" t="s">
        <v>195</v>
      </c>
      <c r="E4" s="384" t="s">
        <v>197</v>
      </c>
      <c r="F4" s="384" t="s">
        <v>199</v>
      </c>
      <c r="G4" s="384" t="s">
        <v>214</v>
      </c>
      <c r="H4" s="384" t="s">
        <v>238</v>
      </c>
      <c r="I4" s="384" t="s">
        <v>244</v>
      </c>
      <c r="J4" s="384" t="s">
        <v>245</v>
      </c>
      <c r="K4" s="384" t="s">
        <v>247</v>
      </c>
      <c r="L4" s="384" t="s">
        <v>250</v>
      </c>
      <c r="M4" s="384" t="s">
        <v>257</v>
      </c>
      <c r="N4" s="384" t="s">
        <v>260</v>
      </c>
      <c r="O4" s="384" t="s">
        <v>270</v>
      </c>
      <c r="P4" s="384" t="s">
        <v>275</v>
      </c>
      <c r="Q4" s="384" t="s">
        <v>282</v>
      </c>
      <c r="R4" s="384" t="s">
        <v>287</v>
      </c>
    </row>
    <row r="5" spans="2:18">
      <c r="B5" s="96" t="s">
        <v>234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  <col min="20" max="20" width="9.14062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84" t="s">
        <v>192</v>
      </c>
      <c r="D4" s="384" t="s">
        <v>195</v>
      </c>
      <c r="E4" s="384" t="s">
        <v>197</v>
      </c>
      <c r="F4" s="384" t="s">
        <v>199</v>
      </c>
      <c r="G4" s="384" t="s">
        <v>214</v>
      </c>
      <c r="H4" s="384" t="s">
        <v>238</v>
      </c>
      <c r="I4" s="384" t="s">
        <v>244</v>
      </c>
      <c r="J4" s="384" t="s">
        <v>245</v>
      </c>
      <c r="K4" s="384" t="s">
        <v>247</v>
      </c>
      <c r="L4" s="384" t="s">
        <v>250</v>
      </c>
      <c r="M4" s="384" t="s">
        <v>257</v>
      </c>
      <c r="N4" s="384" t="s">
        <v>260</v>
      </c>
      <c r="O4" s="384" t="s">
        <v>270</v>
      </c>
      <c r="P4" s="384" t="s">
        <v>275</v>
      </c>
      <c r="Q4" s="384" t="s">
        <v>282</v>
      </c>
      <c r="R4" s="384" t="s">
        <v>287</v>
      </c>
    </row>
    <row r="5" spans="2:18">
      <c r="B5" s="96" t="s">
        <v>234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R4:R5"/>
    <mergeCell ref="Q4:Q5"/>
    <mergeCell ref="J4:J5"/>
    <mergeCell ref="I4:I5"/>
    <mergeCell ref="O4:O5"/>
    <mergeCell ref="P4:P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9.7109375" customWidth="1"/>
    <col min="35" max="35" width="11.5703125" customWidth="1"/>
  </cols>
  <sheetData>
    <row r="1" spans="2:38" ht="6.75" customHeight="1"/>
    <row r="2" spans="2:38">
      <c r="B2" s="91" t="s">
        <v>162</v>
      </c>
      <c r="C2" s="267"/>
      <c r="D2" s="267"/>
    </row>
    <row r="3" spans="2:38">
      <c r="B3" s="94" t="s">
        <v>148</v>
      </c>
    </row>
    <row r="4" spans="2:38">
      <c r="B4" s="54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>
      <c r="H12" s="59"/>
      <c r="I12" s="266"/>
      <c r="J12" s="59"/>
    </row>
    <row r="13" spans="2:38">
      <c r="B13" s="95" t="s">
        <v>163</v>
      </c>
      <c r="C13" s="266"/>
      <c r="G13" s="266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>
      <c r="B2" s="91" t="s">
        <v>82</v>
      </c>
    </row>
    <row r="3" spans="2:38">
      <c r="B3" s="2" t="s">
        <v>148</v>
      </c>
    </row>
    <row r="4" spans="2:38">
      <c r="B4" s="2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>
      <c r="B11" s="265"/>
      <c r="AJ11" s="266"/>
      <c r="AK11" s="266"/>
      <c r="AL11" s="266"/>
    </row>
    <row r="12" spans="2:38">
      <c r="B12" s="265"/>
      <c r="AA12" s="266"/>
      <c r="AE12" s="266"/>
      <c r="AF12" s="72"/>
    </row>
    <row r="13" spans="2:38">
      <c r="B13" s="265"/>
    </row>
    <row r="14" spans="2:38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2.8554687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2.2851562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>
      <c r="B2" s="91" t="s">
        <v>152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4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86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4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2.7109375" customWidth="1"/>
    <col min="68" max="68" width="12.42578125" bestFit="1" customWidth="1"/>
  </cols>
  <sheetData>
    <row r="1" spans="1:83" ht="6.75" customHeight="1"/>
    <row r="2" spans="1:83">
      <c r="B2" s="91" t="s">
        <v>153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86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collapsed="1">
      <c r="A32" s="1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  <c r="AL32" s="263"/>
      <c r="AM32" s="263"/>
      <c r="AN32" s="263"/>
      <c r="AO32" s="263"/>
      <c r="AP32" s="263"/>
      <c r="AQ32" s="263"/>
      <c r="AR32" s="263"/>
      <c r="AS32" s="263"/>
      <c r="AT32" s="263"/>
      <c r="AU32" s="263"/>
      <c r="AV32" s="263"/>
      <c r="AW32" s="263"/>
      <c r="AX32" s="263"/>
      <c r="AY32" s="263"/>
      <c r="AZ32" s="263"/>
      <c r="BA32" s="263"/>
      <c r="BB32" s="263"/>
      <c r="BC32" s="263"/>
      <c r="BE32" s="263"/>
      <c r="BG32" s="263"/>
      <c r="BI32" s="263"/>
    </row>
    <row r="33" spans="1:83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9.140625" hidden="1" customWidth="1" outlineLevel="2"/>
    <col min="47" max="47" width="9.140625" hidden="1" customWidth="1" outlineLevel="2" collapsed="1"/>
    <col min="48" max="48" width="9.140625" hidden="1" customWidth="1" outlineLevel="2"/>
    <col min="49" max="50" width="9.140625" hidden="1" customWidth="1" outlineLevel="1"/>
    <col min="51" max="51" width="9.140625" hidden="1" customWidth="1" outlineLevel="1" collapsed="1"/>
    <col min="52" max="52" width="9.140625" hidden="1" customWidth="1" outlineLevel="1"/>
    <col min="53" max="53" width="9.140625" hidden="1" customWidth="1" outlineLevel="1" collapsed="1"/>
    <col min="54" max="54" width="9.140625" hidden="1" customWidth="1" outlineLevel="1"/>
    <col min="55" max="55" width="9.140625" hidden="1" customWidth="1" outlineLevel="1" collapsed="1"/>
    <col min="56" max="56" width="9.140625" hidden="1" customWidth="1" outlineLevel="1"/>
    <col min="57" max="57" width="9.140625" hidden="1" customWidth="1" outlineLevel="1" collapsed="1"/>
    <col min="58" max="58" width="9.140625" hidden="1" customWidth="1" outlineLevel="1"/>
    <col min="59" max="59" width="9.140625" hidden="1" customWidth="1" collapsed="1"/>
    <col min="60" max="66" width="9.140625" hidden="1" customWidth="1"/>
    <col min="67" max="67" width="1.7109375" customWidth="1"/>
    <col min="68" max="68" width="11.140625" customWidth="1"/>
    <col min="69" max="69" width="7.140625" bestFit="1" customWidth="1"/>
    <col min="70" max="70" width="11.140625" customWidth="1"/>
    <col min="71" max="71" width="7.140625" bestFit="1" customWidth="1"/>
    <col min="72" max="72" width="11.140625" customWidth="1"/>
    <col min="73" max="73" width="7.140625" bestFit="1" customWidth="1"/>
    <col min="74" max="74" width="11.140625" customWidth="1"/>
    <col min="76" max="76" width="11.140625" customWidth="1"/>
    <col min="78" max="78" width="11.140625" customWidth="1"/>
    <col min="80" max="80" width="11.140625" customWidth="1"/>
    <col min="82" max="82" width="11.140625" customWidth="1"/>
  </cols>
  <sheetData>
    <row r="1" spans="1:83" ht="6.75" customHeight="1"/>
    <row r="2" spans="1:83">
      <c r="B2" s="91" t="s">
        <v>154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86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9.140625" hidden="1" customWidth="1" outlineLevel="1"/>
    <col min="29" max="29" width="9.140625" hidden="1" customWidth="1" outlineLevel="1" collapsed="1"/>
    <col min="30" max="30" width="9.140625" collapsed="1"/>
  </cols>
  <sheetData>
    <row r="1" spans="1:38" ht="6.75" customHeight="1"/>
    <row r="2" spans="1:38">
      <c r="B2" s="91" t="s">
        <v>155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</row>
    <row r="3" spans="1:38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</row>
    <row r="4" spans="1:38">
      <c r="B4" s="92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235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236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237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41" width="10.7109375" customWidth="1"/>
  </cols>
  <sheetData>
    <row r="1" spans="1:41" ht="6.75" customHeight="1"/>
    <row r="2" spans="1:41">
      <c r="B2" s="91" t="s">
        <v>102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</row>
    <row r="3" spans="1:41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</row>
    <row r="4" spans="1:41">
      <c r="B4" s="5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1"/>
      <c r="AN5" s="387" t="s">
        <v>366</v>
      </c>
      <c r="AO5" s="388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0"/>
      <c r="AN14" s="260"/>
      <c r="AO14" s="260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2"/>
      <c r="AN15" s="389"/>
      <c r="AO15" s="389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>
      <c r="A33" s="1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</row>
    <row r="34" spans="1:41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6CAB8D3-3667-44FE-96B6-37439BCFF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IFRS</vt:lpstr>
      <vt:lpstr>DRE Consolidada 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CESAR GLOZAN JUNIOR</cp:lastModifiedBy>
  <cp:lastPrinted>2016-05-12T15:33:03Z</cp:lastPrinted>
  <dcterms:created xsi:type="dcterms:W3CDTF">2013-12-02T10:29:02Z</dcterms:created>
  <dcterms:modified xsi:type="dcterms:W3CDTF">2026-08-14T19:23:01Z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